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ročje nabave in vzdrževanja\ŽM\Oddelek JN\266-2020\"/>
    </mc:Choice>
  </mc:AlternateContent>
  <xr:revisionPtr revIDLastSave="0" documentId="8_{57A8E155-D5B1-42F8-A3C1-42DB036ACF45}" xr6:coauthVersionLast="45" xr6:coauthVersionMax="45" xr10:uidLastSave="{00000000-0000-0000-0000-000000000000}"/>
  <bookViews>
    <workbookView xWindow="10836" yWindow="600" windowWidth="11544" windowHeight="12168" tabRatio="850" firstSheet="2" activeTab="3" xr2:uid="{00000000-000D-0000-FFFF-FFFF00000000}"/>
  </bookViews>
  <sheets>
    <sheet name="Rekapitulacija" sheetId="8" r:id="rId1"/>
    <sheet name="1 Rekonstrukcija 7A" sheetId="6" r:id="rId2"/>
    <sheet name="2.1 Rekonstrukcija 7B(1. etapa)" sheetId="10" r:id="rId3"/>
    <sheet name="2.2 Rekonstrukcija 7B(2. etapa)" sheetId="11" r:id="rId4"/>
    <sheet name="3 Sanacija pripravljalna dela" sheetId="12" r:id="rId5"/>
    <sheet name="4 Sanacija vez 7A" sheetId="13" r:id="rId6"/>
    <sheet name="5 Sanacija vez 7B" sheetId="14" r:id="rId7"/>
    <sheet name="6 Katodna vez 7A" sheetId="15" r:id="rId8"/>
    <sheet name="7 Katodna vez 7B" sheetId="16" r:id="rId9"/>
  </sheets>
  <definedNames>
    <definedName name="_xlnm.Print_Area" localSheetId="2">'2.1 Rekonstrukcija 7B(1. etapa)'!$A$1:$F$18</definedName>
    <definedName name="_xlnm.Print_Titles" localSheetId="5">'4 Sanacija vez 7A'!$5:$5</definedName>
    <definedName name="_xlnm.Print_Titles" localSheetId="6">'5 Sanacija vez 7B'!$5:$5</definedName>
    <definedName name="Z_1ACC94DC_2A2F_4FFE_8CC4_9E4240762DE1_.wvu.PrintTitles" localSheetId="5" hidden="1">'4 Sanacija vez 7A'!$5:$5</definedName>
    <definedName name="Z_1ACC94DC_2A2F_4FFE_8CC4_9E4240762DE1_.wvu.PrintTitles" localSheetId="6" hidden="1">'5 Sanacija vez 7B'!$5:$5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8" l="1"/>
  <c r="B36" i="8"/>
  <c r="F7" i="16"/>
  <c r="F9" i="16"/>
  <c r="F11" i="16"/>
  <c r="F13" i="16"/>
  <c r="F15" i="16"/>
  <c r="F17" i="16"/>
  <c r="F19" i="16"/>
  <c r="F21" i="16"/>
  <c r="F23" i="16"/>
  <c r="F25" i="16"/>
  <c r="F27" i="16"/>
  <c r="B35" i="8"/>
  <c r="F7" i="15"/>
  <c r="F9" i="15"/>
  <c r="F11" i="15"/>
  <c r="F13" i="15"/>
  <c r="F15" i="15"/>
  <c r="F17" i="15"/>
  <c r="F19" i="15"/>
  <c r="F21" i="15"/>
  <c r="F23" i="15"/>
  <c r="F25" i="15"/>
  <c r="F27" i="15"/>
  <c r="F29" i="15"/>
  <c r="F31" i="15"/>
  <c r="F33" i="15"/>
  <c r="F35" i="15"/>
  <c r="F37" i="15"/>
  <c r="B34" i="8"/>
  <c r="E9" i="14"/>
  <c r="E67" i="14" s="1"/>
  <c r="C34" i="8" s="1"/>
  <c r="E13" i="14"/>
  <c r="E17" i="14"/>
  <c r="E21" i="14"/>
  <c r="E25" i="14"/>
  <c r="E29" i="14"/>
  <c r="E32" i="14"/>
  <c r="E35" i="14"/>
  <c r="E38" i="14"/>
  <c r="E41" i="14"/>
  <c r="E45" i="14"/>
  <c r="E49" i="14"/>
  <c r="E53" i="14"/>
  <c r="E57" i="14"/>
  <c r="E61" i="14"/>
  <c r="E64" i="14"/>
  <c r="B33" i="8"/>
  <c r="E9" i="13"/>
  <c r="E51" i="13" s="1"/>
  <c r="E13" i="13"/>
  <c r="E17" i="13"/>
  <c r="E21" i="13"/>
  <c r="E25" i="13"/>
  <c r="E29" i="13"/>
  <c r="E32" i="13"/>
  <c r="E35" i="13"/>
  <c r="E38" i="13"/>
  <c r="E42" i="13"/>
  <c r="E45" i="13"/>
  <c r="E48" i="13"/>
  <c r="F5" i="12"/>
  <c r="F8" i="12"/>
  <c r="F12" i="12"/>
  <c r="F13" i="12"/>
  <c r="F14" i="12"/>
  <c r="F29" i="16" l="1"/>
  <c r="C36" i="8" s="1"/>
  <c r="F39" i="15"/>
  <c r="C35" i="8" s="1"/>
  <c r="F16" i="12"/>
  <c r="C32" i="8" s="1"/>
  <c r="C33" i="8"/>
  <c r="F203" i="11"/>
  <c r="F199" i="11"/>
  <c r="F195" i="11"/>
  <c r="F191" i="11"/>
  <c r="F187" i="11"/>
  <c r="F183" i="11"/>
  <c r="F179" i="11"/>
  <c r="F175" i="11"/>
  <c r="F171" i="11"/>
  <c r="F167" i="11"/>
  <c r="F163" i="11"/>
  <c r="F159" i="11"/>
  <c r="F195" i="6"/>
  <c r="F191" i="6"/>
  <c r="F187" i="6"/>
  <c r="F183" i="6"/>
  <c r="F179" i="6"/>
  <c r="F175" i="6"/>
  <c r="F171" i="6"/>
  <c r="F167" i="6"/>
  <c r="F163" i="6"/>
  <c r="F159" i="6"/>
  <c r="F155" i="6"/>
  <c r="F151" i="6"/>
  <c r="F70" i="6"/>
  <c r="F66" i="6"/>
  <c r="C130" i="11"/>
  <c r="D131" i="11" s="1"/>
  <c r="F131" i="11" s="1"/>
  <c r="C122" i="11"/>
  <c r="D123" i="11" s="1"/>
  <c r="F123" i="11" s="1"/>
  <c r="C118" i="11"/>
  <c r="D119" i="11" s="1"/>
  <c r="F119" i="11" s="1"/>
  <c r="C114" i="6"/>
  <c r="C122" i="6"/>
  <c r="D123" i="6" s="1"/>
  <c r="F123" i="6" s="1"/>
  <c r="C110" i="6"/>
  <c r="C11" i="11"/>
  <c r="D12" i="11" s="1"/>
  <c r="F12" i="11" s="1"/>
  <c r="C15" i="11"/>
  <c r="D16" i="11" s="1"/>
  <c r="F16" i="11" s="1"/>
  <c r="C19" i="11"/>
  <c r="D20" i="11" s="1"/>
  <c r="F20" i="11" s="1"/>
  <c r="C23" i="11"/>
  <c r="D24" i="11" s="1"/>
  <c r="F24" i="11" s="1"/>
  <c r="C27" i="11"/>
  <c r="D28" i="11" s="1"/>
  <c r="F28" i="11" s="1"/>
  <c r="C31" i="11"/>
  <c r="D32" i="11"/>
  <c r="F32" i="11" s="1"/>
  <c r="C36" i="11"/>
  <c r="D37" i="11" s="1"/>
  <c r="F37" i="11" s="1"/>
  <c r="C43" i="11"/>
  <c r="D44" i="11" s="1"/>
  <c r="F44" i="11" s="1"/>
  <c r="C47" i="11"/>
  <c r="D48" i="11" s="1"/>
  <c r="F48" i="11" s="1"/>
  <c r="C54" i="11"/>
  <c r="D55" i="11" s="1"/>
  <c r="F55" i="11" s="1"/>
  <c r="C58" i="11"/>
  <c r="D59" i="11" s="1"/>
  <c r="F59" i="11" s="1"/>
  <c r="C62" i="11"/>
  <c r="D63" i="11" s="1"/>
  <c r="F63" i="11" s="1"/>
  <c r="D67" i="11"/>
  <c r="F67" i="11" s="1"/>
  <c r="D71" i="11"/>
  <c r="F71" i="11" s="1"/>
  <c r="D77" i="11"/>
  <c r="F77" i="11" s="1"/>
  <c r="D82" i="11"/>
  <c r="F82" i="11" s="1"/>
  <c r="D86" i="11"/>
  <c r="F86" i="11" s="1"/>
  <c r="D90" i="11"/>
  <c r="F90" i="11" s="1"/>
  <c r="D94" i="11"/>
  <c r="F94" i="11" s="1"/>
  <c r="D98" i="11"/>
  <c r="F98" i="11" s="1"/>
  <c r="C102" i="11"/>
  <c r="D103" i="11" s="1"/>
  <c r="F103" i="11" s="1"/>
  <c r="C109" i="11"/>
  <c r="D110" i="11" s="1"/>
  <c r="F110" i="11" s="1"/>
  <c r="C114" i="11"/>
  <c r="D115" i="11" s="1"/>
  <c r="F115" i="11" s="1"/>
  <c r="D127" i="11"/>
  <c r="F127" i="11" s="1"/>
  <c r="C137" i="11"/>
  <c r="D138" i="11" s="1"/>
  <c r="F138" i="11" s="1"/>
  <c r="C141" i="11"/>
  <c r="D142" i="11" s="1"/>
  <c r="F142" i="11" s="1"/>
  <c r="C145" i="11"/>
  <c r="D146" i="11" s="1"/>
  <c r="F146" i="11" s="1"/>
  <c r="C149" i="11"/>
  <c r="D150" i="11" s="1"/>
  <c r="C162" i="11"/>
  <c r="C166" i="11"/>
  <c r="C178" i="11"/>
  <c r="C186" i="11"/>
  <c r="C198" i="11"/>
  <c r="D206" i="11"/>
  <c r="C9" i="10"/>
  <c r="D10" i="10" s="1"/>
  <c r="F10" i="10" s="1"/>
  <c r="C13" i="10"/>
  <c r="D14" i="10" s="1"/>
  <c r="F14" i="10" s="1"/>
  <c r="C61" i="6"/>
  <c r="D62" i="6"/>
  <c r="F62" i="6" s="1"/>
  <c r="C57" i="6"/>
  <c r="C95" i="6"/>
  <c r="D96" i="6" s="1"/>
  <c r="F96" i="6" s="1"/>
  <c r="D198" i="6"/>
  <c r="C190" i="6"/>
  <c r="C178" i="6"/>
  <c r="C170" i="6"/>
  <c r="C158" i="6"/>
  <c r="C154" i="6"/>
  <c r="C129" i="6"/>
  <c r="D130" i="6"/>
  <c r="F130" i="6"/>
  <c r="C141" i="6"/>
  <c r="D142" i="6" s="1"/>
  <c r="F142" i="6" s="1"/>
  <c r="C137" i="6"/>
  <c r="D138" i="6" s="1"/>
  <c r="F138" i="6" s="1"/>
  <c r="C90" i="6"/>
  <c r="D91" i="6" s="1"/>
  <c r="F91" i="6" s="1"/>
  <c r="C34" i="6"/>
  <c r="D35" i="6"/>
  <c r="F35" i="6" s="1"/>
  <c r="C45" i="6"/>
  <c r="D46" i="6" s="1"/>
  <c r="F46" i="6" s="1"/>
  <c r="D119" i="6"/>
  <c r="F119" i="6" s="1"/>
  <c r="C41" i="6"/>
  <c r="D42" i="6" s="1"/>
  <c r="F42" i="6" s="1"/>
  <c r="F47" i="6" s="1"/>
  <c r="D75" i="6"/>
  <c r="F75" i="6" s="1"/>
  <c r="C53" i="6"/>
  <c r="D54" i="6"/>
  <c r="F54" i="6"/>
  <c r="C78" i="6"/>
  <c r="D79" i="6" s="1"/>
  <c r="F79" i="6" s="1"/>
  <c r="C133" i="6"/>
  <c r="D134" i="6"/>
  <c r="F134" i="6" s="1"/>
  <c r="D115" i="6"/>
  <c r="F115" i="6"/>
  <c r="D111" i="6"/>
  <c r="F111" i="6"/>
  <c r="C106" i="6"/>
  <c r="D107" i="6" s="1"/>
  <c r="F107" i="6" s="1"/>
  <c r="C102" i="6"/>
  <c r="D103" i="6" s="1"/>
  <c r="F103" i="6" s="1"/>
  <c r="D87" i="6"/>
  <c r="F87" i="6"/>
  <c r="D83" i="6"/>
  <c r="F83" i="6" s="1"/>
  <c r="D58" i="6"/>
  <c r="F58" i="6" s="1"/>
  <c r="C30" i="6"/>
  <c r="D31" i="6" s="1"/>
  <c r="F31" i="6" s="1"/>
  <c r="C26" i="6"/>
  <c r="D27" i="6" s="1"/>
  <c r="F27" i="6" s="1"/>
  <c r="C22" i="6"/>
  <c r="D23" i="6" s="1"/>
  <c r="F23" i="6" s="1"/>
  <c r="C11" i="6"/>
  <c r="D12" i="6" s="1"/>
  <c r="F12" i="6" s="1"/>
  <c r="C15" i="6"/>
  <c r="D16" i="6" s="1"/>
  <c r="F16" i="6" s="1"/>
  <c r="C38" i="8" l="1"/>
  <c r="F150" i="11"/>
  <c r="F151" i="11" s="1"/>
  <c r="F49" i="11"/>
  <c r="F206" i="11"/>
  <c r="F207" i="11" s="1"/>
  <c r="F36" i="6"/>
  <c r="F198" i="6"/>
  <c r="F199" i="6" s="1"/>
  <c r="F97" i="6"/>
  <c r="F17" i="6"/>
  <c r="F124" i="6"/>
  <c r="F38" i="11"/>
  <c r="F104" i="11"/>
  <c r="F17" i="10"/>
  <c r="C23" i="8" s="1"/>
  <c r="F132" i="11"/>
  <c r="F143" i="6"/>
  <c r="F204" i="6" l="1"/>
  <c r="C21" i="8" s="1"/>
  <c r="F211" i="11"/>
  <c r="C24" i="8" s="1"/>
  <c r="C22" i="8" s="1"/>
  <c r="C26" i="8" l="1"/>
  <c r="C27" i="8" l="1"/>
  <c r="C29" i="8" s="1"/>
  <c r="C40" i="8" s="1"/>
</calcChain>
</file>

<file path=xl/sharedStrings.xml><?xml version="1.0" encoding="utf-8"?>
<sst xmlns="http://schemas.openxmlformats.org/spreadsheetml/2006/main" count="656" uniqueCount="328">
  <si>
    <t>S K U P A J  B R E Z  D D V :</t>
  </si>
  <si>
    <t>A.1</t>
  </si>
  <si>
    <t xml:space="preserve">Demontaža tirnic in odvoz na deponijo (znotraj Luke Koper) </t>
  </si>
  <si>
    <t>A.2</t>
  </si>
  <si>
    <t>kom</t>
  </si>
  <si>
    <t>B. RUŠITVENA DELA</t>
  </si>
  <si>
    <t>B.1</t>
  </si>
  <si>
    <t>B.2</t>
  </si>
  <si>
    <t>B.3</t>
  </si>
  <si>
    <t>m2</t>
  </si>
  <si>
    <t>A. PRIPRAVLJALNA DELA</t>
  </si>
  <si>
    <t>B.4</t>
  </si>
  <si>
    <t>Rušenje zgornjega sloja betona tirnega nosilca na morski strani do nivoja pod zgornjo armaturo</t>
  </si>
  <si>
    <t>m3</t>
  </si>
  <si>
    <t>Postavitev gradbiščne table skladno z navodili za informiranje in obveščanje. Vsebina mora biti usklajena z naročnikom. Tabla mora biti izdelana iz vremensko odpornih materialov in postavljena na vidno mesto. Vključno z nosilno konstrukcijo.</t>
  </si>
  <si>
    <t xml:space="preserve">1 x 1 = </t>
  </si>
  <si>
    <t>Organizacija gradbišča - postavitev začasnih objektov. Priprava in odstranitev gradbišča - kontejnerji, zaščitna ograja in ostale sestavine gradbišča vključno z odstrantvijo po zaključnh delih. V strošek priprave je potrebno upoštevati tudi ureditev dostopa do konstrukcije z morja ter vzdrževanje dostopov tekom gradnje. V ceno so zajeta vsa dodatna in zaščitna dela.</t>
  </si>
  <si>
    <t>C. TESARSKA DELA</t>
  </si>
  <si>
    <t>C.1</t>
  </si>
  <si>
    <t>m1</t>
  </si>
  <si>
    <t>D. BETONSKA DELA</t>
  </si>
  <si>
    <t>D.1</t>
  </si>
  <si>
    <t>D.2</t>
  </si>
  <si>
    <t>D.3</t>
  </si>
  <si>
    <t>D.4</t>
  </si>
  <si>
    <t>kg</t>
  </si>
  <si>
    <t>Strojna izdelava in ročna montaža srednje zahtevne armature iz bet. jekla B500 B do fi 12 mm | izdelava in montaža skupaj</t>
  </si>
  <si>
    <t>D.5</t>
  </si>
  <si>
    <t>Strojna izdelava in ročna montaža srednje zahtevne armature iz bet. jekla B500 B nad fi 12 mm | izdelava in montaža skupaj</t>
  </si>
  <si>
    <t>Rezanje, polaganje in vezanje armature iz armaturnih mrež MAG | armaturne rebraste mreže od 5 do 8 kg/m2</t>
  </si>
  <si>
    <t>D.6</t>
  </si>
  <si>
    <t>D.7</t>
  </si>
  <si>
    <t>D.8</t>
  </si>
  <si>
    <t>E. KANALIZACIJA</t>
  </si>
  <si>
    <t>E.1</t>
  </si>
  <si>
    <t>E.2</t>
  </si>
  <si>
    <t>E.3</t>
  </si>
  <si>
    <t>E.4</t>
  </si>
  <si>
    <t>F. TUJE STORITVE</t>
  </si>
  <si>
    <t>F.1</t>
  </si>
  <si>
    <t>F.2</t>
  </si>
  <si>
    <t>Dobava, polaganje in montaža kanalizacijskih cevi premera 200 mm na betonsko podlago, skupaj z vsem spojnim materialom</t>
  </si>
  <si>
    <t>D.9</t>
  </si>
  <si>
    <t>zgornji del</t>
  </si>
  <si>
    <t xml:space="preserve">4 x 100 = </t>
  </si>
  <si>
    <t>Odstranitev zgornjega ustroja (asfalta) na vezu 7A z odvozom na deponijo izven Luke Koper</t>
  </si>
  <si>
    <t xml:space="preserve">2 x 0,1 x 18 x 100 = </t>
  </si>
  <si>
    <t>Odstranitev gramoznega nasutja na vezu 7A z odvozom na deponijo znotraj Luke Koper</t>
  </si>
  <si>
    <t xml:space="preserve">2 x 0,28 x 18 x 100 = </t>
  </si>
  <si>
    <t xml:space="preserve">2 x (1 x 91 + 11 x 4,3) = </t>
  </si>
  <si>
    <t xml:space="preserve">2x2 = </t>
  </si>
  <si>
    <t>Strojna izdelava in ročna montaža srednje zahtevne armature iz bet. jekla B500 B  fi 20 mm | navojne palice, podložka in matica zgoraj | izdelava in montaža skupaj</t>
  </si>
  <si>
    <t>D.10</t>
  </si>
  <si>
    <t>2fi20/30cm, l=60cm, premer luknje 25mm</t>
  </si>
  <si>
    <t>2fi20/30cm, l=100cm, premer luknje 25mm</t>
  </si>
  <si>
    <t>Po celotni površini se očisti obstoječa betonska plošča in med prečniki ohrapavi za kasnejšo boljšo sprijemnost z novim betonom. Ohrapavljenje površine se izvede v globino 0,3cm/4cm</t>
  </si>
  <si>
    <t xml:space="preserve">2 x 20 x 100 = </t>
  </si>
  <si>
    <t>navojna palica z vrezanjem navoja dolžine 10 cm</t>
  </si>
  <si>
    <t>matica in podložka</t>
  </si>
  <si>
    <t>Izdelava enostranskega opaža AB plošče in kanala za kable</t>
  </si>
  <si>
    <t xml:space="preserve">2 x 240 x 0,4 + 2 x 0,36 x 200 = </t>
  </si>
  <si>
    <t>E.5</t>
  </si>
  <si>
    <t>C.2</t>
  </si>
  <si>
    <t>m</t>
  </si>
  <si>
    <t>Dobava in vgradnja ključavnic za zaklepanje žerjava po detajlu proizvajalca dvigal, ki je priložen v risbah</t>
  </si>
  <si>
    <t>2 x 200 =</t>
  </si>
  <si>
    <t>Rekonstrukcija obale veza 7A - Dopolnitev po pripombah recenzije št. 2 na PZI dokumentacijo (maj 2018) + DODATNA DELA (oktober 2020)</t>
  </si>
  <si>
    <t xml:space="preserve">2 x 0,18 x 100 = </t>
  </si>
  <si>
    <t>2 x 100=</t>
  </si>
  <si>
    <t xml:space="preserve">Skupaj F. </t>
  </si>
  <si>
    <t>Skupaj E.</t>
  </si>
  <si>
    <t>Skupaj D.</t>
  </si>
  <si>
    <t>Skupaj C.</t>
  </si>
  <si>
    <t>Skupaj B.</t>
  </si>
  <si>
    <t>Skupaj A.</t>
  </si>
  <si>
    <t>REKAPITULACIJA</t>
  </si>
  <si>
    <t>Rekonstrukcija 7A veza</t>
  </si>
  <si>
    <t>F.3</t>
  </si>
  <si>
    <t xml:space="preserve">1x4 = </t>
  </si>
  <si>
    <t>F.4</t>
  </si>
  <si>
    <t xml:space="preserve">2x100 + 3 = </t>
  </si>
  <si>
    <t>Premontaža odbojnikov za mostna dvigala</t>
  </si>
  <si>
    <t>G. DODATNE BITVE</t>
  </si>
  <si>
    <t>Popis za eno bitvo</t>
  </si>
  <si>
    <t>Zakoličba osi bitve</t>
  </si>
  <si>
    <t>Odstranitev betona prečnika do nivoja zgornje doložene armature ca. 57cm v globino. V tlorisnem gabaritu se beton odstrani v območju jeklenih podložnih plošč, ki se pa razlikujejo glede na pozicijo bitve 85cm x (100-120)cm. Po zaključku pregled s strani projektanta.</t>
  </si>
  <si>
    <t>0,57*0,95*1,15</t>
  </si>
  <si>
    <t>Kronsko vrtanje v globino do spodnje doložene armature prečnika, to je 75cm. Za pomoč prinatančnem  vrtanju se pripravi šablona. Premer luknje naj ne bo večji od 55mm, kom 14; vključno z injekcijsko maso (kot npr. Hilti HIT-RE 500 ali Sika AnchorFix) in injektiranjem, pred injektiranjem izvrtino ustrezno očistiti - glej tehnično poročilo</t>
  </si>
  <si>
    <t>0,75*14</t>
  </si>
  <si>
    <t xml:space="preserve">Dobava in izdelava sidrnih vijakov M52 kvalitete 8.8 in dolžine 1470 mm. Navoj naj bo po celotni dolžini vijaka </t>
  </si>
  <si>
    <t>Postavitev sidrnih vijakov v izvrtane luknje. Po postavitvi vijakov  in injektiranju se izdela posnetek vijakov, na osnovi tega pa se v delavnici izvrtajo luknje v podložno ploščo</t>
  </si>
  <si>
    <t>Dobava in točkovno varenje prečnih sidrnih palic  Φ32 mm na obstoječo armaturo prečnika in zgornje plošče kolektorja</t>
  </si>
  <si>
    <t>0,86*12*6,471</t>
  </si>
  <si>
    <t xml:space="preserve">Dobava, v delavnici izdelava in protikorozijska zaščita  bitve ter privaritev na podložno ploščo. Upoštevano 3% za varenje </t>
  </si>
  <si>
    <t>Zapolnitev notranjost bitve s samozgoščevalnim betonom SCC trdnosti C25/35</t>
  </si>
  <si>
    <t>0,15*1,5*2</t>
  </si>
  <si>
    <t>Barvanje bitve v  barvo, RAL po navodilih investitorja in oštevilčenje na jekleni ploščici</t>
  </si>
  <si>
    <t>pavšal</t>
  </si>
  <si>
    <t>Skupaj za 1 bitvo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</si>
  <si>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</si>
  <si>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</si>
  <si>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</si>
  <si>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</si>
  <si>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</si>
  <si>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</si>
  <si>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</si>
  <si>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</si>
  <si>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</si>
  <si>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</si>
  <si>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</si>
  <si>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</si>
  <si>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Strojno vgrajevanje betona v armirane konstrukcije preseka 0.10 m3/m2-m, obrabni sloj v debelini 8 cm in kvaliteti C35/45, XS1, XC4/XF3, XM3 (OO-3), PV-I, Dmax=16 mm; v ceni je potrebno upoštevati tudi nego betona.</t>
  </si>
  <si>
    <t>Strojno vgrajevanje betona v armirane konstrukcije preseka od 0.20 - 0.30 m3/m2-m, povprečni debelini 30cm , beton C30/37, XS1, PV-I, Dmax=16 mm ;v ceni je potrebno upoštevati tudi nego betona</t>
  </si>
  <si>
    <t>Dobava, izdelava in namestitev sidrne plošče debeline 60mm, velikosti 850 x (1000-1200)mm, ki je predhodno izdelana in protikorozijsko zaščitena v delavnici in naknadno po posnetku vanjo izvrtane luknje za sidra. Namestitev se izvede skupaj z bitvo iz točke G.9</t>
  </si>
  <si>
    <t>Skupaj G. (6 bitev)</t>
  </si>
  <si>
    <t>D.11</t>
  </si>
  <si>
    <t>2 x 20=</t>
  </si>
  <si>
    <t>Tesnjenje delovnih stikov AB plošče v primeru betoniranja v večih fazah; tesnjenje s tesnilno pločevino v notranjosti prereza kot npr. Strathobituflex 150; dobava in vgradnja</t>
  </si>
  <si>
    <t xml:space="preserve">Dobava in vgradnja sistema za pokrivanje kanala za kable iz armirane gume z železnimi vlakni (širine 39,5 cm in debeline 15 mm)  z inox pritrdilnim materialom, kot npr. Panzerbelt dobavitelja Cavotec. V sklopu se dobavi in vgradi tudi lijak za kable.  Detajl kanala in lijaka je potrebno pred izvedbo uskladiti s proizvajalcem dvigal (glej detajl kanala na grafični prilogi G.13b) </t>
  </si>
  <si>
    <t>Ureditev območja  nad ploščo in vijaki z  betonom C25/30.</t>
  </si>
  <si>
    <t xml:space="preserve">2 x 0,08 x 20 x 100 = </t>
  </si>
  <si>
    <t xml:space="preserve">2 x 0,3 x 20 x 100 = </t>
  </si>
  <si>
    <t xml:space="preserve">Dobava in montaža tirnice žerjavne proge A100 iz vrste jekla R260 z minimalno natezno trdnostjo 880 MPa, vključno z vsem potrebnim pritrdilnim materialom; tirnica mora biti pritrjena po sistemu elastičnega pritrjevanja Gantrex na jekleno lamelo (glej detajl na grafični prilogi G.13a) </t>
  </si>
  <si>
    <t>Kronsko uvrtavanje lukenj v prečnike za stremensko armaturo; premer palic fi 20 mm; vključno z injekcisjko maso (kot npr. Hilti HIT-RE 500 ) in injektiranjem, pred injektiranjem izvrtino ustrezno očistiti - glej tehnično poročilo; vključno s testiranjem sider na izvlek v sklopu preverjanja kvalitete izvedbe (1% vseh sider)</t>
  </si>
  <si>
    <t>Kronsko uvrtavanje lukenj v tirni nosilec na morski strani za stremensko armaturo; premer palic fi 20 mm; vključno z injekcisjko maso (kot npr. Hilti HIT-RE 500 ) in injektiranjem, pred injektiranjem izvrtino ustrezno očistiti - glej tehnično poročilo; vključno s testiranjem sider na izvlek v sklopu preverjanja kvalitete izvedbe (1% vseh sider)</t>
  </si>
  <si>
    <t>Izdelava kanala za kable dimenzije 10x36 cm (tesarska dela) z vgradnjo dveh kotnikov 50/50/4 mm in 90/60/6 mm na zgornjih vogalih kanala</t>
  </si>
  <si>
    <t xml:space="preserve">Betoniranje porušenega dela prečnika z betonom trdnosti C40/50, razred XS3. Predvidevamo uporabo samozgoščevalnega betona SCC s sposobnostjo prehajanja razreda PL2 ali PJ2. </t>
  </si>
  <si>
    <r>
      <t>m</t>
    </r>
    <r>
      <rPr>
        <vertAlign val="superscript"/>
        <sz val="10"/>
        <rFont val="Times New Roman"/>
        <family val="1"/>
        <charset val="238"/>
      </rPr>
      <t>1</t>
    </r>
  </si>
  <si>
    <t xml:space="preserve">4 x 2,9 x 22 = </t>
  </si>
  <si>
    <t>Nadomestitev manjkajoče armature tirnega vzdolžnika na morski strani z dolepljenjem karbonskih lamel širine 150 mm in debeline 1,2 mm (skladno s statičnim izračunom in izvedbenimi detajli). Dobava, priprava površine in vgradnja. Priprava površine skladno z navodili proizvajalca trakov.</t>
  </si>
  <si>
    <t xml:space="preserve">5 x 4,5 x 12 = </t>
  </si>
  <si>
    <t>Nadomestitev manjkajoče armature prečnikov z dolepljenjem karbonskih lamel širine 150 mm in debeline 1,2 mm (skladno s statičnim izračunom in izvedbenimi detajli). Dobava, priprava površine in vgradnja. Priprava površine skladno z navodili proizvajalca trakov.</t>
  </si>
  <si>
    <t>1. etapa - spodnji del</t>
  </si>
  <si>
    <t>Rekonstrukcija obale veza 7B - Po recenziji</t>
  </si>
  <si>
    <t>Skupaj G. (3 bitve)</t>
  </si>
  <si>
    <t>Ureditev območja  nad ploščo in vijaki z  betonom C25/35.</t>
  </si>
  <si>
    <t>0,5*0,96</t>
  </si>
  <si>
    <t>Betoniranje porušenega dela prečnika z betonom trdnosti C40/50, razred XS3. Predvidevamo uporabo samozgoščevalnega betona SCC s sposobnostjo prehajanja razreda PL2 ali PJ2.</t>
  </si>
  <si>
    <t>Dobava, izdelava in namestitev bitve s sidrno ploščo debeline 60mm, velikosti 850 x (1000-1200)mm, ki je predhodno izdelana in protikorozijsko zaščitena v delavnici in naknadno po posnetku vanjo izvrtane luknje za sidra. Namestitev se izvede skupaj z bitvo iz točke G.9</t>
  </si>
  <si>
    <t>Dobava in izdelava sidrnih palic M52 kvalitete 8.8 in dolžine 1470 mm. Navoj naj bo po celotni dolžini palice.</t>
  </si>
  <si>
    <t>0,85*14</t>
  </si>
  <si>
    <t>Kronsko vrtanje v globino cca. 85cm. Za pomoč pri natančnem  vrtanju se pripravi šablona. Premer luknje naj ne bo večji od 55mm, kom 14; vključno z injekcijsko maso (kot npr. Hilti HIT-RE 500 ) in injektiranjem, pred injektiranjem izvrtino ustrezno očistiti - glej tehnično poročilo</t>
  </si>
  <si>
    <t>Odstranitev betona prečnika do nivoja zgornje doložene armature ca. 48cm v globino. V tlorisnem gabaritu se beton odstrani v območju jeklenih podložnih plošč, ki se pa razlikujejo glede na pozicijo bitve 85cm x (100-120)cm. Obstoječa armatura plošče kolektorja začasno razmaknjena, nepoškodovana. Po zaključku pregled s strani projektanta.</t>
  </si>
  <si>
    <t xml:space="preserve">2x4 = </t>
  </si>
  <si>
    <t xml:space="preserve">1x2 = </t>
  </si>
  <si>
    <t>Dobava in vgradnja ključavnic za zaklepanje žerjava po detajlu proizvajalca dvigal, ki je priložen v risbah.</t>
  </si>
  <si>
    <t xml:space="preserve">1x6 = </t>
  </si>
  <si>
    <t>Ponovna montaža demontiranih polerjev na prvotna mesta</t>
  </si>
  <si>
    <t xml:space="preserve">1x100 + 3 = </t>
  </si>
  <si>
    <t xml:space="preserve">Dobava in montaža tirnice žerjavne proge A100 iz vrste jekla R260 z minimalno natezno trdnostjo 880 MPa, vključno z vsem potrebnim pritrdilnim materialom; tirnica mora biti pritrjena po sistemu elastičnega pritrjevanja Gantrex na jekleno lamelo (glej detajl na grafični prilogi G.17) </t>
  </si>
  <si>
    <t xml:space="preserve">1x11 = </t>
  </si>
  <si>
    <t xml:space="preserve">1 x 90 + 11 x 4,3 = </t>
  </si>
  <si>
    <t>1 x 20=</t>
  </si>
  <si>
    <t>Tesnjenje delovnega stika AB plošče; tesnjenje s tesnilno pločevino v notranjosti prereza kot npr. Strathobituflex 150; dobava in vgradnja</t>
  </si>
  <si>
    <t>D.12</t>
  </si>
  <si>
    <t>100 =</t>
  </si>
  <si>
    <t xml:space="preserve">Dobava in vgradnja sistema za pokrivanje kanala za kable iz armirane gume z železnimi vlakni (širine 39,5 cm in debeline 15 mm)  z inox pritrdilnim materialom, kot npr. Panzerbelt dobavitelja Cavotec. V sklopu se dobavi in vgradi tudi lijak za kable.  Detajl kanala in lijaka je potrebno pred izvedbo uskladiti s proizvajalcem dvigal (glej detajl kanala na grafični prilogi G.16b) </t>
  </si>
  <si>
    <t>2fi16/60cm, l=100cm, premer luknje 20mm</t>
  </si>
  <si>
    <t>Kronsko uvrtavanje lukenj v tirni nosilec na morski strani za stremensko armaturo; premer palic fi 16 mm; vključno z injekcisjko maso (kot npr. Hilti HIT-RE 500 ) in injektiranjem, pred injektiranjem izvrtino ustrezno očistiti - glej tehnično poročilo; vključno s testiranjem sider na izvlek v sklopu preverjanja kvalitete izvedbe (1% vseh sider)</t>
  </si>
  <si>
    <t>Kronsko uvrtavanje lukenj v prečnike za stremensko armaturo; premer palic fi 20 mm; vključno z injekcisjko maso (kot npr. Hilti HIT-RE 500  ) in injektiranjem, pred injektiranjem izvrtino ustrezno očistiti - glej tehnično poročilo; vključno s testiranjem sider na izvlek v sklopu preverjanja kvalitete izvedbe (1% vseh sider)</t>
  </si>
  <si>
    <t>navojna palica z vrezanjem navoja dolžine 7cm</t>
  </si>
  <si>
    <t>Strojna izdelava in ročna montaža srednje zahtevne armature v prečnike - vijaki kvalitete 8.8  fi 20 mm | navojne palice, podložka in matica zgoraj | izdelava in montaža skupaj</t>
  </si>
  <si>
    <t>Strojna izdelava in ročna montaža srednje zahtevne armature v tirni vzdolžnikiz bet. jekla B500 B  fi 16 mm | navojne palice, podložka in matica zgoraj | izdelava in montaža skupaj</t>
  </si>
  <si>
    <t xml:space="preserve">0,3 x 20 x 100 = </t>
  </si>
  <si>
    <t xml:space="preserve">0,08 x 20 x 100 = </t>
  </si>
  <si>
    <t xml:space="preserve">20 x 100 = </t>
  </si>
  <si>
    <t>200 =</t>
  </si>
  <si>
    <t xml:space="preserve">1 x 245 x 0,4 + 2 x 0,36 x 100= </t>
  </si>
  <si>
    <t xml:space="preserve">12 x 0,27 x 1 = </t>
  </si>
  <si>
    <t>Rušenje zgornjega sloja betona dela prečnika na mestu kinete do nivoja pod zgornjo armaturo; upoštevati dodatek pri ceni za prilagajanje glede na izvedeno stanje obstoječe armature</t>
  </si>
  <si>
    <t>B.7</t>
  </si>
  <si>
    <t xml:space="preserve">1 x 0,18 x 100 = </t>
  </si>
  <si>
    <t>Rušenje zgornjega sloja betona tirnega nosilca na kopenski strani do nivoja pod zgornjo armaturo</t>
  </si>
  <si>
    <t>B.6</t>
  </si>
  <si>
    <t>B.5</t>
  </si>
  <si>
    <t xml:space="preserve">0,28 x 18 x 100 = </t>
  </si>
  <si>
    <t>Odstranitev gramoznega nasutja na vezu 7B z odvozom na deponijo znotraj Luke Koper</t>
  </si>
  <si>
    <t xml:space="preserve">0,1 x 18 x 100 = </t>
  </si>
  <si>
    <t>Odstranitev zgornjega ustroja (asfalta) na vezu 7B z odvozom na deponijo izven Luke Koper</t>
  </si>
  <si>
    <t xml:space="preserve">1 x 7 = </t>
  </si>
  <si>
    <t xml:space="preserve">Demontaža polerja in odvoz na deponijo (znotraj Luke Koper) </t>
  </si>
  <si>
    <t xml:space="preserve">2 x 100 = </t>
  </si>
  <si>
    <t>2. etapa - zgornji del</t>
  </si>
  <si>
    <t>Rekonstrukcija obale veza 7B - Dopolnitev po pripombah recenzije št. 2 na PZI dokumentacijo (maj 2018) + DODATNA DELA (oktober 2020)</t>
  </si>
  <si>
    <t>ŠT.</t>
  </si>
  <si>
    <t>KOLIČINA</t>
  </si>
  <si>
    <t>OPIS POSTAVKE / ENOTA MERE</t>
  </si>
  <si>
    <t>CENA/EM</t>
  </si>
  <si>
    <t>VREDNOST</t>
  </si>
  <si>
    <t>Rekonstrukcija 7B veza</t>
  </si>
  <si>
    <t xml:space="preserve">Dobava in montaža odbojnikov za mostna dvigala, s pritrditvijo na tirnico dvigala A100; odbojnik je iz konstrukcije iz pocinkanega jekla ter dodatno barvane za agresivnost okolja C5M; vključno z vsem pritrdilnim materialom (glej skico proizvajalca na prilogi h grafični prilogi G.14) </t>
  </si>
  <si>
    <t>E.6</t>
  </si>
  <si>
    <t xml:space="preserve">1x5 = </t>
  </si>
  <si>
    <t>Dobava, polaganje in montaža lovilca olj s koalescentnim filtrom, z vgrajenim bypassom, pretoka min 30l/s, pri vgradnji upoštevati navodila proizvajalca (dimenzije iz grafičnih prilog), vse komplet, vključno z izdelavo AB venca za pokrove in dobavo in vgradnjo pokrovov skupne nosilnosti F900.</t>
  </si>
  <si>
    <t>Polaganje in montaža požiralnika, pri vgradnji upoštevati navodila proizvajalca (dimenzije iz grafičnih prilog), vse komplet, vključno z izdelavo AB venca za rešetke; dobava ni predvidena, le demontaža obstoječih, začasno skladiščenje na gradbiščni deponiji in ponovna vgradnja.</t>
  </si>
  <si>
    <t xml:space="preserve">Montaža LTŽ rešetke za na požiralnik, pri vgradnji upoštevati navodila proizvajalca; dobava ni predvidena, le demontaža obstoječih, začasno skladiščenje na gradbiščni deponiji in ponovna vgradnja. </t>
  </si>
  <si>
    <t>Izdelava preboja za dostop pod konstrukcijo (v kolikor ta ni ostal iz časa izvajanja sanacije spodnjega dela obale) z vgradnjo pokrova nosilnosti F900</t>
  </si>
  <si>
    <t>Dobava, polaganje in montaža požiralnika z LTŽ rešetko nosilnosti F900, pri vgradnji upoštevati navodila proizvajalca (tip kot mostni požiralnik z ravno rešetko), dimenzije iz grafičnih prilog, vse komplet, vključno z izdelavo AB venca.</t>
  </si>
  <si>
    <t>PONUDNIK</t>
  </si>
  <si>
    <t>Skupaj:</t>
  </si>
  <si>
    <t>ur</t>
  </si>
  <si>
    <t>NK</t>
  </si>
  <si>
    <t>c</t>
  </si>
  <si>
    <t>PK</t>
  </si>
  <si>
    <t>b</t>
  </si>
  <si>
    <t xml:space="preserve">VK </t>
  </si>
  <si>
    <t>a</t>
  </si>
  <si>
    <t xml:space="preserve">Razna nepredvidena rušitvena dela, ki se pojavijo v času gradnje in se obračunajo po dejanskih porabljenem času delavcev, z vpisom v gradbeni dnevnik in po predhodni potrditvi  naročnika. Dela se obračunajo le na pozicijah, kjer z opisom le-ta niso predvidena. V ceni zajeti tudi ves material in opremo potrebno za delo. </t>
  </si>
  <si>
    <t>kpl</t>
  </si>
  <si>
    <t>►</t>
  </si>
  <si>
    <t>Dobava splavov, ki so potrebni varno izvajanje dela pod AB konstrukcijo obale in zavarovanjem zgornjega dela obale ob izvajanju posamezne faze (omejitev prometa) vse v skladu z navodili in omejitvami naročnika ter projekta PZI.</t>
  </si>
  <si>
    <t>Ureditev in zavarovanje gradbišča, postavitev gradbiščne table, označba območij obale s prepovedjo prometa v času izvajanja del (omejitve navedene v tehničnem poročilu), postavitev gradbiščnega kontejnerja, gradbiščni priklop na elektriko, vodovod in sprotno čiščenje gradbišča.</t>
  </si>
  <si>
    <t>Vrednost</t>
  </si>
  <si>
    <t>Cena na enoto mere</t>
  </si>
  <si>
    <t>Količina</t>
  </si>
  <si>
    <t>Enota mere</t>
  </si>
  <si>
    <t>Opis postavke</t>
  </si>
  <si>
    <t>Zap. št.</t>
  </si>
  <si>
    <t>13.</t>
  </si>
  <si>
    <t>Izvedba kontrolnih meritev odtržne trdnosti ("pull-off") na novem sloju betona v območju lepljenja lamel, vključno z izdelavo poročila o rezultatih meritev.</t>
  </si>
  <si>
    <t>12.</t>
  </si>
  <si>
    <t>armaturne palice (S500)           kg</t>
  </si>
  <si>
    <t>Krivljenje, rezanje, dobava in vgradnja dodatne armature v tirne nosilce po potrebi (npr. v primeru poškodovanih stremen), detajl dodatne armature poda in potrdi projektant glede na dejansko ugotovljeno stanje ob izvedbi.</t>
  </si>
  <si>
    <t>11.</t>
  </si>
  <si>
    <r>
      <t>m</t>
    </r>
    <r>
      <rPr>
        <vertAlign val="superscript"/>
        <sz val="11"/>
        <rFont val="Tahoma"/>
        <family val="2"/>
        <charset val="238"/>
      </rPr>
      <t>1</t>
    </r>
  </si>
  <si>
    <t>4 x 3,0 x 22 = 264</t>
  </si>
  <si>
    <t>Nadomestitev korodirane armature na tirnih nosilcih v poljih 1 do 16 z dolepljenjem karbonskih lamel širine 80 mm in debeline 1,2 mm, vključno s pripravo betonske površine v skladu s tehnično dokumentacijo proizvajalca lamel.</t>
  </si>
  <si>
    <t>10.</t>
  </si>
  <si>
    <r>
      <t>m</t>
    </r>
    <r>
      <rPr>
        <vertAlign val="superscript"/>
        <sz val="11"/>
        <rFont val="Tahoma"/>
        <family val="2"/>
        <charset val="238"/>
      </rPr>
      <t>2</t>
    </r>
  </si>
  <si>
    <t>Sekundarni ukrepi - sanacija kolektorja na morski strani: strojno in ročno nanašanje sanacijske malte R4 (SIST EN 1504-3) v debelini do 5 cm, postopek izvedbe v skladu s SIST EN 1504-10.</t>
  </si>
  <si>
    <t>9.</t>
  </si>
  <si>
    <t>Sekundarni ukrepi - sanacija kolektorja na morski strani: ročno čiščenje armature do sijaja ST2 in premaz obstoječe armature kolektorja s premazom, ki služi kot kontaktni premaz in protikorozijska zaščita armature (skladno s SIST EN 1504-7).</t>
  </si>
  <si>
    <t>8.</t>
  </si>
  <si>
    <t>Sekundarni ukrepi - sanacija kolektorja na morski strani (polja 1 do 16): čiščenje odbijanje slabega betona (strojno z visokim pritiskom in ročno), vključno s finim čiščenjem odstranjenih delcev ter nakladanjem, odvozom in predajo odpadnega materiala pooblaščenemu prevzemniku.</t>
  </si>
  <si>
    <t>7.</t>
  </si>
  <si>
    <t>8,0 x 44 = 352</t>
  </si>
  <si>
    <t>Prebrizg betonske površine tirnih nosilcev po razopaženju s penetrabilnim sredstvom za nego svežega betona in nadaljnjo zaščito betona pred prodorom agresivnih snovi, skladno s SIST EN 1504-2.</t>
  </si>
  <si>
    <t>6.</t>
  </si>
  <si>
    <r>
      <t>m</t>
    </r>
    <r>
      <rPr>
        <vertAlign val="superscript"/>
        <sz val="11"/>
        <rFont val="Tahoma"/>
        <family val="2"/>
        <charset val="238"/>
      </rPr>
      <t>3</t>
    </r>
  </si>
  <si>
    <t>(0,22 + 0,12) x 8,0 x 22 = 59,14</t>
  </si>
  <si>
    <t>Dobava in vgradnja novega zaščitnega sanacijskega sloja samozgoščevalnega betona tirnih nosilcev, beton mora ustrezati zahtevam iz tehničnega poročila (C35/45 XC4/XS3 Dmax 4).</t>
  </si>
  <si>
    <t>5.</t>
  </si>
  <si>
    <t>Premaz obstoječe armature tirnih nosilcev s premazom, ki služi kot kontaktni premaz in protikorozijska zaščita armature (skladno s SIST EN 1504-7).</t>
  </si>
  <si>
    <t>4.</t>
  </si>
  <si>
    <t>Pranje vseh pripravljenih betonskih površin tirnih nosilcev pred betoniranjem z vodnim curkom pod visokim pritiskom.</t>
  </si>
  <si>
    <t>3.</t>
  </si>
  <si>
    <t>Čiščenje obstoječe armature tirnih nosilcev do zahtevanega sijaja (SA2,5 pri peskanih površinah oziroma ST2 pri ročnem čiščenju).</t>
  </si>
  <si>
    <t>2.</t>
  </si>
  <si>
    <t>(0,18 + 0,10) x 8,0 x 22 = 49,30</t>
  </si>
  <si>
    <t>Odstranitev s kloridi nasičenega zaščitnega sloja betona tirnih nosilcev nad armaturo do globine približno 3 cm pod vgrajeno armaturo, vključno s finim čiščenjem odstranjenih delcev ter nakladanjem, odvozom in predajo odpadnega materiala pooblaščenemu prevzemniku.</t>
  </si>
  <si>
    <t>1.</t>
  </si>
  <si>
    <t>skupaj EUR brez DDV</t>
  </si>
  <si>
    <t>cena/enoto EUR brez DDV</t>
  </si>
  <si>
    <t>količina</t>
  </si>
  <si>
    <t>Postavka in EM</t>
  </si>
  <si>
    <t>Sanacijo je potrebno izvajati po projektu PZI št. JP-20/17.</t>
  </si>
  <si>
    <t>Izvedba kontrolnih meritev odtržne trdnosti ("pull-off") na novem sloju betona v območju lepljenja lamel, izdelava poročila o rezultatih meritev.</t>
  </si>
  <si>
    <t>16.</t>
  </si>
  <si>
    <t>1,9 x 4,8 x 19 = 173,28</t>
  </si>
  <si>
    <t>15.</t>
  </si>
  <si>
    <t>0,22 x 4,8 x 19 = 20,06</t>
  </si>
  <si>
    <t>14.</t>
  </si>
  <si>
    <t>0,18 x 4,8 x 19 = 16,42</t>
  </si>
  <si>
    <t>Odstranitev s kloridi nasičenega zaščitnega sloja betona prečnikov nad armaturo do globine približno 3 cm pod vgrajeno armaturo, vključno s finim čiščenjem odstranjenih delcev ter nakladanjem, odvozom in predajo odpadnega materiala pooblaščenemu prevzemniku.</t>
  </si>
  <si>
    <t>Sekundarni ukrepi - sanacija kolektorja na morski strani (lokalno): strojno in ročno nanašanje sanacijske malte R4 (SIST EN 1504-3) v debelini do 5 cm, postopek izvedbe v skladu s SIST EN 1504-10.</t>
  </si>
  <si>
    <t>Sekundarni ukrepi - sanacija kolektorja na morski strani (lokalno): ročno čiščenje armature do sijaja ST2 in premaz obstoječe armature kolektorja s premazom, ki služi kot kontaktni premaz in protikorozijska zaščita armature (skladno s SIST EN 1504-7).</t>
  </si>
  <si>
    <t>Sekundarni ukrepi - sanacija kolektorja na morski strani (lokalno): čiščenje odbijanje slabega betona (strojno z visokim pritiskom in ročno), vključno s finim čiščenjem odstranjenih delcev ter nakladanjem, odvozom in predajo odpadnega materiala pooblaščenemu prevzemniku.</t>
  </si>
  <si>
    <t>1,7 x 8,0 x 11 = 149,6</t>
  </si>
  <si>
    <t>1,7 x 0,12 x 8,0 x 11 = 18</t>
  </si>
  <si>
    <t>1,7 x 0,10 x 8,0 x 11 = 14,96</t>
  </si>
  <si>
    <t>Sanacijo je potrebno izvajati po projektu PZI št. JP-21/17.</t>
  </si>
  <si>
    <t>EUR</t>
  </si>
  <si>
    <t>Meritve, funkcijski preizkus in merilno poročilo</t>
  </si>
  <si>
    <t>Stroški priprave opreme za delo pod pomolom</t>
  </si>
  <si>
    <t>Dobava,montaža MiniTrans periferne enote za daljinski nadzor delovanja naprav katodne zaščite, komplet (periferna enota, baterija, DCF antena) z napajalnikom; vgrajeno v omarici telemetrije v svetlobnem stolpu SSKT- 12.</t>
  </si>
  <si>
    <t>Dobava in montaža priključno merilnega mesta (PMO) z consko razdelitvijo anodnih, katodnih zbiralk in opremo telemetrije.  Priključitev prestavljenih vodnikov</t>
  </si>
  <si>
    <t>Dobava in montaža priključnega mesta za posamično polje pod pomolom z razdelitvijo 9 anodnih kablov na zbiralki, 11 katodnih kablov na zbiralki in priključki za merilno opremo.  Priključitev vodnikov in zalivanje s vodotesno maso odporno na kloride.</t>
  </si>
  <si>
    <t>kos</t>
  </si>
  <si>
    <t>Vzpostavitev anodne mreže posameznega tirnega nosilca na posameznem anodnem polju s točkovnim varjenjem titan trakov, vključno z meritvami o ustreznosti in izvedbo anodnega priključka na anodni vodnik</t>
  </si>
  <si>
    <t>Vzpostavitev katodne mreže tirnega nosilca  na posameznem katodnem priključku z varjenjem za vzpostavitev galvanske povezave vseh vzdolžnih in vertikalnih palic armature, vključno z meritvami in izvedbo katodnega priključka na katodni vodnik</t>
  </si>
  <si>
    <t>Dobava in vgradnja titan tokovnih distributorjev anodnega sistema. Na mestih izpostavitve atmosferi, zaščiteno z epoksi maso Sikadur RAPID.(ali enakovredno)</t>
  </si>
  <si>
    <t>MMO (Mix metal oxsid) trak kapacitete 110mA/m².Dobava in vgradnja na distančnike za polaganje anod, direktno na armaturo.   Na mestih izpostavitve atmosferi, zaščiteno z epoksi maso Sikadur RAPID.(ali enakovredno)</t>
  </si>
  <si>
    <t xml:space="preserve">Dobava in vgradnja ref. elektrode AgAgCl vključno s montažnim priborom in priključitev elektrode na merilni kabel z izdelavo kabelske spojke. </t>
  </si>
  <si>
    <t>Vodnik RHH # 14 AWG  (montaža z INOX pritrdilnim materialom pod pomolom)</t>
  </si>
  <si>
    <t>Vodnik NYY 1x4mm²  (montaža z INOX pritrdilnim materialom pod pomolom)</t>
  </si>
  <si>
    <t>Vodnik NYY 7x2,5mm²  (montaža z INOX pritrdilnim materialom pod pomolom)</t>
  </si>
  <si>
    <t>Vodnik NYY 1x35mm²  (montaža z INOX pritrdilnim materialom pod pomolom)</t>
  </si>
  <si>
    <t xml:space="preserve">Izvedba elektro priključka za napravo katodne zaščite v stoplu razsvetljave SSKT 12 </t>
  </si>
  <si>
    <t>Dobava in montaža naprave za katodno zaščito, priključitev, nastavitev naprave in umerjanje. Parametri naprave: Stikalni usmernik z modularno močnostno tehniko 1500W – 4500W, CE certifikat, izkoristek min. 86,5%, univerzalno napajanje in maksimalno valovitostjo 150mVp-p. Prikazovalnik parametrov U,I,Eon,Eoff ,T; galvansko ločeni vhodi in izhodi z priklopi za telemetrijo in krmiljenje hlajenja. Krmiljenje z omejitvijo toka, napetosti in regulacijo izhodne moči glede na polariziran potencial.(optimizirana energetska poraba). Naprava mora biti izdelana za zagotovitev delovanja po SIST EN12473:2000, 13174:2003</t>
  </si>
  <si>
    <t>EM</t>
  </si>
  <si>
    <t>Opis postavk</t>
  </si>
  <si>
    <t xml:space="preserve">Za vse postavke velja, da je v ceni upoštevana dobava, usklajevanje z naročnikom in ostalimi izvajalci, organiziranje, montaža in montažni material. </t>
  </si>
  <si>
    <t>Vzpostavitev anodne mreže posameznega prečnika ali tirnega nosilca na posameznem anodnem polju s točkovnim varjenjem titan trakov, vključno z meritvami o ustreznosti in izvedbo anodnega priključka na anodni vodnik</t>
  </si>
  <si>
    <t>Vzpostavitev katodne mreže prečnega ali tirnega nosilca  na posameznem katodnem priključku z varjenjem za vzpostavitev galvanske povezave vseh vzdolžnih in vertikalnih palic armature, vključno z meritvami in izvedbo katodnega priključka na katodni vodnik</t>
  </si>
  <si>
    <t>Vodnik NYY 1x16mm²  (montaža z INOX pritrdilnim materialom pod pomolom)</t>
  </si>
  <si>
    <t>A</t>
  </si>
  <si>
    <t>B</t>
  </si>
  <si>
    <t>1</t>
  </si>
  <si>
    <t>2</t>
  </si>
  <si>
    <t>2.1</t>
  </si>
  <si>
    <t>2.2</t>
  </si>
  <si>
    <t>3</t>
  </si>
  <si>
    <t>4</t>
  </si>
  <si>
    <t>5</t>
  </si>
  <si>
    <t>6</t>
  </si>
  <si>
    <t>7</t>
  </si>
  <si>
    <t>SKUPAJ 1+2</t>
  </si>
  <si>
    <t>Nepredvidena dela 5% od 1+2</t>
  </si>
  <si>
    <t xml:space="preserve">Stroške za izvajanje tekoče kontrole vključno s pridobivanjem vseh potrebnih dokazil mora izvajalec vključiti v svojo ponudbeno ceno. </t>
  </si>
  <si>
    <t>SKUPAJ REKONSTRUKCIJA</t>
  </si>
  <si>
    <t>SKUPAJ SANACIJA</t>
  </si>
  <si>
    <t>REKONSTRUKCIJA (SKLOP 1,2,3)</t>
  </si>
  <si>
    <t>SANACIJA (SKLOP 4,5)</t>
  </si>
  <si>
    <t>SKUPAJ A+B (brez DDV)</t>
  </si>
  <si>
    <t xml:space="preserve">REKONSTRUKCIJA 7A </t>
  </si>
  <si>
    <t xml:space="preserve">IN 7B VEZA - IZVEDBA DEL </t>
  </si>
  <si>
    <t>Naročnik</t>
  </si>
  <si>
    <t>Luka Koper d.d.</t>
  </si>
  <si>
    <t>Sanacija - pripravljalna dela</t>
  </si>
  <si>
    <t>Vez 7A - sanacija tirnih nosilcev</t>
  </si>
  <si>
    <t>Vez 7B - sanacija tirnih nosilcev in prečnikov</t>
  </si>
  <si>
    <t>Vez 7A - katodna zaščita</t>
  </si>
  <si>
    <t>Vez 7B - katodna zaščita</t>
  </si>
  <si>
    <t>PONUDBENI PREDRAČUN ŠT:</t>
  </si>
  <si>
    <t>Naročilo JN266/2020</t>
  </si>
  <si>
    <t>2.1 Rekonstrukcija 7B(1. etapa)</t>
  </si>
  <si>
    <t>2.2 Rekonstrukcija 7B(2. etapa)</t>
  </si>
  <si>
    <t>1 Rekonstrukcija 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</si>
</sst>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32">
    <font>
      <sz val="10"/>
      <name val="Arial"/>
    </font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0"/>
      <name val="Technic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u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color theme="1"/>
      <name val="Cambria"/>
      <family val="1"/>
      <charset val="238"/>
      <scheme val="major"/>
    </font>
    <font>
      <sz val="10"/>
      <color rgb="FFFF0000"/>
      <name val="Times New Roman"/>
      <family val="1"/>
      <charset val="238"/>
    </font>
    <font>
      <sz val="10"/>
      <color rgb="FFFF0000"/>
      <name val="Technical"/>
    </font>
    <font>
      <sz val="8"/>
      <color theme="4" tint="-0.249977111117893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indexed="12"/>
      <name val="Tahoma"/>
      <family val="2"/>
      <charset val="238"/>
    </font>
    <font>
      <b/>
      <sz val="11"/>
      <color rgb="FFFF0000"/>
      <name val="Tahoma"/>
      <family val="2"/>
      <charset val="238"/>
    </font>
    <font>
      <vertAlign val="superscript"/>
      <sz val="11"/>
      <name val="Tahoma"/>
      <family val="2"/>
      <charset val="238"/>
    </font>
    <font>
      <sz val="10"/>
      <name val="Helv"/>
      <charset val="238"/>
    </font>
    <font>
      <i/>
      <sz val="11"/>
      <name val="Tahoma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echnic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2" fillId="0" borderId="0"/>
    <xf numFmtId="0" fontId="1" fillId="0" borderId="0"/>
    <xf numFmtId="39" fontId="23" fillId="0" borderId="0"/>
    <xf numFmtId="0" fontId="2" fillId="0" borderId="0"/>
  </cellStyleXfs>
  <cellXfs count="250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0" xfId="0" applyNumberFormat="1" applyFont="1"/>
    <xf numFmtId="164" fontId="14" fillId="0" borderId="0" xfId="0" applyNumberFormat="1" applyFont="1"/>
    <xf numFmtId="49" fontId="6" fillId="0" borderId="0" xfId="0" applyNumberFormat="1" applyFont="1" applyAlignment="1" applyProtection="1">
      <alignment horizontal="right" vertical="top"/>
    </xf>
    <xf numFmtId="4" fontId="4" fillId="0" borderId="0" xfId="0" applyNumberFormat="1" applyFont="1" applyProtection="1"/>
    <xf numFmtId="49" fontId="4" fillId="0" borderId="0" xfId="0" applyNumberFormat="1" applyFont="1" applyAlignment="1" applyProtection="1">
      <alignment horizontal="right" vertical="top"/>
    </xf>
    <xf numFmtId="4" fontId="4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Fill="1" applyAlignment="1" applyProtection="1">
      <alignment horizontal="justify" vertical="justify" wrapText="1"/>
    </xf>
    <xf numFmtId="0" fontId="8" fillId="0" borderId="0" xfId="0" applyFont="1" applyFill="1" applyAlignment="1" applyProtection="1">
      <alignment horizontal="right" vertical="justify" wrapText="1"/>
    </xf>
    <xf numFmtId="4" fontId="8" fillId="0" borderId="0" xfId="0" applyNumberFormat="1" applyFont="1" applyFill="1" applyAlignment="1" applyProtection="1">
      <alignment horizontal="right" vertical="justify" wrapText="1"/>
    </xf>
    <xf numFmtId="4" fontId="4" fillId="0" borderId="0" xfId="0" applyNumberFormat="1" applyFont="1" applyFill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justify" vertical="justify" wrapText="1"/>
    </xf>
    <xf numFmtId="4" fontId="8" fillId="0" borderId="2" xfId="0" applyNumberFormat="1" applyFont="1" applyFill="1" applyBorder="1" applyAlignment="1" applyProtection="1">
      <alignment horizontal="right" vertical="justify" wrapText="1"/>
    </xf>
    <xf numFmtId="0" fontId="4" fillId="0" borderId="0" xfId="1" applyFont="1" applyFill="1" applyAlignment="1" applyProtection="1">
      <alignment horizontal="right" vertical="justify" wrapText="1"/>
    </xf>
    <xf numFmtId="0" fontId="4" fillId="0" borderId="0" xfId="0" applyFont="1" applyAlignment="1" applyProtection="1">
      <alignment horizontal="justify" vertical="justify" wrapText="1"/>
    </xf>
    <xf numFmtId="4" fontId="7" fillId="0" borderId="0" xfId="0" applyNumberFormat="1" applyFont="1" applyAlignment="1" applyProtection="1">
      <alignment horizontal="center"/>
    </xf>
    <xf numFmtId="4" fontId="7" fillId="0" borderId="0" xfId="0" applyNumberFormat="1" applyFont="1" applyFill="1" applyAlignment="1" applyProtection="1">
      <alignment horizontal="center"/>
    </xf>
    <xf numFmtId="4" fontId="4" fillId="0" borderId="2" xfId="0" applyNumberFormat="1" applyFont="1" applyFill="1" applyBorder="1" applyProtection="1"/>
    <xf numFmtId="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horizontal="justify" vertical="justify" wrapText="1"/>
    </xf>
    <xf numFmtId="0" fontId="4" fillId="0" borderId="0" xfId="1" applyFont="1" applyAlignment="1" applyProtection="1">
      <alignment wrapText="1"/>
    </xf>
    <xf numFmtId="0" fontId="16" fillId="0" borderId="0" xfId="0" applyFont="1" applyFill="1" applyAlignment="1" applyProtection="1">
      <alignment horizontal="right" vertical="justify" wrapText="1"/>
    </xf>
    <xf numFmtId="0" fontId="16" fillId="0" borderId="0" xfId="0" applyFont="1" applyFill="1" applyAlignment="1" applyProtection="1">
      <alignment horizontal="center" vertical="justify" wrapText="1"/>
    </xf>
    <xf numFmtId="49" fontId="4" fillId="0" borderId="2" xfId="0" applyNumberFormat="1" applyFont="1" applyBorder="1" applyAlignment="1" applyProtection="1">
      <alignment horizontal="left" vertical="top"/>
    </xf>
    <xf numFmtId="0" fontId="4" fillId="0" borderId="0" xfId="0" applyFont="1" applyAlignment="1" applyProtection="1">
      <alignment wrapText="1"/>
    </xf>
    <xf numFmtId="4" fontId="3" fillId="0" borderId="0" xfId="0" applyNumberFormat="1" applyFont="1" applyProtection="1"/>
    <xf numFmtId="4" fontId="9" fillId="0" borderId="0" xfId="0" applyNumberFormat="1" applyFont="1" applyFill="1" applyAlignment="1" applyProtection="1">
      <alignment horizontal="right" vertical="justify" wrapText="1"/>
    </xf>
    <xf numFmtId="49" fontId="4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wrapText="1"/>
    </xf>
    <xf numFmtId="4" fontId="3" fillId="0" borderId="0" xfId="0" applyNumberFormat="1" applyFont="1" applyFill="1" applyProtection="1"/>
    <xf numFmtId="0" fontId="4" fillId="0" borderId="0" xfId="0" applyFont="1" applyFill="1" applyAlignment="1" applyProtection="1">
      <alignment horizontal="left" vertical="justify"/>
    </xf>
    <xf numFmtId="4" fontId="4" fillId="0" borderId="0" xfId="0" applyNumberFormat="1" applyFont="1" applyFill="1" applyAlignment="1" applyProtection="1">
      <alignment horizontal="justify" vertical="justify" wrapText="1"/>
    </xf>
    <xf numFmtId="49" fontId="4" fillId="0" borderId="2" xfId="0" applyNumberFormat="1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justify" vertical="justify"/>
    </xf>
    <xf numFmtId="49" fontId="4" fillId="0" borderId="0" xfId="0" applyNumberFormat="1" applyFont="1" applyFill="1" applyAlignment="1" applyProtection="1">
      <alignment horizontal="right" vertical="top"/>
    </xf>
    <xf numFmtId="49" fontId="4" fillId="0" borderId="2" xfId="0" applyNumberFormat="1" applyFont="1" applyFill="1" applyBorder="1" applyAlignment="1" applyProtection="1">
      <alignment horizontal="right" vertical="top"/>
    </xf>
    <xf numFmtId="0" fontId="11" fillId="0" borderId="0" xfId="0" applyFont="1" applyFill="1" applyAlignment="1" applyProtection="1">
      <alignment horizontal="justify" vertical="justify" wrapText="1"/>
    </xf>
    <xf numFmtId="0" fontId="4" fillId="0" borderId="0" xfId="0" applyFont="1" applyFill="1" applyAlignment="1" applyProtection="1">
      <alignment horizontal="left" vertical="justify" wrapText="1"/>
    </xf>
    <xf numFmtId="0" fontId="4" fillId="0" borderId="0" xfId="0" applyFont="1" applyAlignment="1" applyProtection="1">
      <alignment horizontal="justify" vertical="center"/>
    </xf>
    <xf numFmtId="0" fontId="10" fillId="0" borderId="0" xfId="0" applyFont="1" applyAlignment="1" applyProtection="1">
      <alignment horizontal="justify" vertical="center"/>
    </xf>
    <xf numFmtId="49" fontId="4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right" vertical="justify" wrapText="1"/>
    </xf>
    <xf numFmtId="4" fontId="8" fillId="0" borderId="0" xfId="0" applyNumberFormat="1" applyFont="1" applyFill="1" applyBorder="1" applyAlignment="1" applyProtection="1">
      <alignment horizontal="right" vertical="justify" wrapText="1"/>
    </xf>
    <xf numFmtId="4" fontId="4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Protection="1"/>
    <xf numFmtId="4" fontId="4" fillId="0" borderId="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justify" wrapText="1"/>
    </xf>
    <xf numFmtId="49" fontId="4" fillId="0" borderId="1" xfId="0" applyNumberFormat="1" applyFont="1" applyBorder="1" applyAlignment="1" applyProtection="1">
      <alignment horizontal="right" vertical="top"/>
    </xf>
    <xf numFmtId="49" fontId="4" fillId="0" borderId="1" xfId="0" applyNumberFormat="1" applyFont="1" applyBorder="1" applyAlignment="1" applyProtection="1">
      <alignment horizontal="right" vertical="top" wrapText="1"/>
    </xf>
    <xf numFmtId="4" fontId="4" fillId="0" borderId="1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 vertical="top"/>
    </xf>
    <xf numFmtId="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justify" vertical="justify" wrapText="1"/>
    </xf>
    <xf numFmtId="4" fontId="5" fillId="0" borderId="0" xfId="0" applyNumberFormat="1" applyFont="1" applyAlignment="1" applyProtection="1">
      <alignment horizontal="left" vertical="center"/>
    </xf>
    <xf numFmtId="4" fontId="4" fillId="0" borderId="0" xfId="0" applyNumberFormat="1" applyFont="1" applyFill="1" applyAlignment="1" applyProtection="1">
      <alignment horizontal="justify" vertical="justify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justify" wrapText="1"/>
    </xf>
    <xf numFmtId="49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justify" wrapText="1"/>
    </xf>
    <xf numFmtId="49" fontId="4" fillId="0" borderId="0" xfId="0" applyNumberFormat="1" applyFont="1" applyAlignment="1">
      <alignment horizontal="right" vertical="top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 horizontal="center"/>
    </xf>
    <xf numFmtId="164" fontId="4" fillId="0" borderId="0" xfId="0" applyNumberFormat="1" applyFont="1" applyAlignment="1"/>
    <xf numFmtId="3" fontId="4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 vertical="justify" wrapText="1"/>
    </xf>
    <xf numFmtId="0" fontId="4" fillId="0" borderId="0" xfId="0" applyFont="1" applyFill="1" applyAlignment="1">
      <alignment horizontal="justify" vertical="justify" wrapText="1"/>
    </xf>
    <xf numFmtId="4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 vertical="justify" wrapText="1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 applyProtection="1">
      <alignment horizontal="justify" vertical="justify"/>
    </xf>
    <xf numFmtId="0" fontId="8" fillId="2" borderId="0" xfId="0" applyFont="1" applyFill="1" applyAlignment="1" applyProtection="1">
      <alignment horizontal="right" vertical="justify" wrapText="1"/>
    </xf>
    <xf numFmtId="4" fontId="8" fillId="2" borderId="0" xfId="0" applyNumberFormat="1" applyFont="1" applyFill="1" applyAlignment="1" applyProtection="1">
      <alignment horizontal="right" vertical="justify" wrapText="1"/>
    </xf>
    <xf numFmtId="4" fontId="4" fillId="2" borderId="0" xfId="0" applyNumberFormat="1" applyFont="1" applyFill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 vertical="top"/>
    </xf>
    <xf numFmtId="49" fontId="4" fillId="2" borderId="0" xfId="0" applyNumberFormat="1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justify" vertical="justify" wrapText="1"/>
    </xf>
    <xf numFmtId="4" fontId="4" fillId="2" borderId="0" xfId="0" applyNumberFormat="1" applyFont="1" applyFill="1" applyAlignment="1" applyProtection="1">
      <alignment horizontal="justify" vertical="justify" wrapText="1"/>
    </xf>
    <xf numFmtId="49" fontId="4" fillId="2" borderId="0" xfId="0" applyNumberFormat="1" applyFont="1" applyFill="1" applyAlignment="1" applyProtection="1">
      <alignment horizontal="right" vertical="top"/>
    </xf>
    <xf numFmtId="49" fontId="4" fillId="2" borderId="2" xfId="0" applyNumberFormat="1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justify" vertical="justify" wrapText="1"/>
    </xf>
    <xf numFmtId="4" fontId="8" fillId="2" borderId="2" xfId="0" applyNumberFormat="1" applyFont="1" applyFill="1" applyBorder="1" applyAlignment="1" applyProtection="1">
      <alignment horizontal="right" vertical="justify" wrapText="1"/>
    </xf>
    <xf numFmtId="4" fontId="4" fillId="2" borderId="2" xfId="0" applyNumberFormat="1" applyFont="1" applyFill="1" applyBorder="1" applyAlignment="1" applyProtection="1">
      <alignment horizontal="center"/>
    </xf>
    <xf numFmtId="49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26" fillId="0" borderId="7" xfId="1" applyFont="1" applyBorder="1" applyAlignment="1" applyProtection="1">
      <alignment horizontal="left" vertical="center"/>
      <protection locked="0"/>
    </xf>
    <xf numFmtId="0" fontId="27" fillId="0" borderId="7" xfId="1" applyFont="1" applyBorder="1" applyAlignment="1" applyProtection="1">
      <alignment horizontal="center" vertical="center"/>
      <protection locked="0"/>
    </xf>
    <xf numFmtId="0" fontId="25" fillId="0" borderId="0" xfId="1" applyFont="1" applyProtection="1"/>
    <xf numFmtId="0" fontId="25" fillId="0" borderId="0" xfId="1" applyFont="1" applyAlignment="1" applyProtection="1"/>
    <xf numFmtId="0" fontId="25" fillId="0" borderId="3" xfId="1" applyFont="1" applyBorder="1" applyProtection="1"/>
    <xf numFmtId="0" fontId="25" fillId="0" borderId="4" xfId="1" applyFont="1" applyBorder="1" applyAlignment="1" applyProtection="1"/>
    <xf numFmtId="0" fontId="25" fillId="0" borderId="5" xfId="1" applyFont="1" applyBorder="1" applyAlignment="1" applyProtection="1"/>
    <xf numFmtId="0" fontId="26" fillId="0" borderId="6" xfId="1" applyFont="1" applyBorder="1" applyProtection="1"/>
    <xf numFmtId="0" fontId="26" fillId="0" borderId="0" xfId="1" applyFont="1" applyAlignment="1" applyProtection="1">
      <alignment horizontal="left" vertical="center"/>
    </xf>
    <xf numFmtId="0" fontId="26" fillId="0" borderId="7" xfId="1" applyFont="1" applyBorder="1" applyAlignment="1" applyProtection="1">
      <alignment horizontal="left" vertical="center"/>
    </xf>
    <xf numFmtId="0" fontId="29" fillId="0" borderId="7" xfId="1" applyFont="1" applyBorder="1" applyAlignment="1" applyProtection="1">
      <alignment horizontal="left" vertical="center"/>
    </xf>
    <xf numFmtId="0" fontId="27" fillId="0" borderId="7" xfId="1" applyFont="1" applyBorder="1" applyAlignment="1" applyProtection="1">
      <alignment horizontal="left" vertical="center"/>
    </xf>
    <xf numFmtId="0" fontId="25" fillId="0" borderId="6" xfId="1" applyFont="1" applyBorder="1" applyProtection="1"/>
    <xf numFmtId="0" fontId="27" fillId="0" borderId="7" xfId="1" applyFont="1" applyBorder="1" applyAlignment="1" applyProtection="1">
      <alignment horizontal="center" vertical="center"/>
    </xf>
    <xf numFmtId="0" fontId="25" fillId="0" borderId="8" xfId="1" applyFont="1" applyBorder="1" applyProtection="1"/>
    <xf numFmtId="0" fontId="26" fillId="0" borderId="9" xfId="1" applyFont="1" applyBorder="1" applyAlignment="1" applyProtection="1">
      <alignment horizontal="left" vertical="center"/>
    </xf>
    <xf numFmtId="0" fontId="19" fillId="0" borderId="0" xfId="1" applyFont="1" applyBorder="1" applyProtection="1"/>
    <xf numFmtId="0" fontId="30" fillId="0" borderId="0" xfId="1" applyFont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left" vertical="center"/>
    </xf>
    <xf numFmtId="0" fontId="18" fillId="0" borderId="0" xfId="1" applyFont="1" applyBorder="1" applyProtection="1"/>
    <xf numFmtId="0" fontId="18" fillId="0" borderId="0" xfId="1" applyFont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center" vertical="center"/>
    </xf>
    <xf numFmtId="49" fontId="19" fillId="0" borderId="0" xfId="1" applyNumberFormat="1" applyFont="1" applyBorder="1" applyAlignment="1" applyProtection="1">
      <alignment horizontal="center" vertical="center"/>
    </xf>
    <xf numFmtId="164" fontId="19" fillId="0" borderId="0" xfId="1" applyNumberFormat="1" applyFont="1" applyBorder="1" applyAlignment="1" applyProtection="1">
      <alignment vertical="center"/>
    </xf>
    <xf numFmtId="0" fontId="25" fillId="0" borderId="0" xfId="1" applyFont="1" applyBorder="1" applyAlignment="1" applyProtection="1">
      <alignment horizontal="left" vertical="center"/>
    </xf>
    <xf numFmtId="164" fontId="25" fillId="0" borderId="0" xfId="1" applyNumberFormat="1" applyFont="1" applyBorder="1" applyAlignment="1" applyProtection="1">
      <alignment vertical="center"/>
    </xf>
    <xf numFmtId="0" fontId="25" fillId="0" borderId="0" xfId="1" applyFont="1" applyBorder="1" applyAlignment="1" applyProtection="1">
      <alignment horizontal="center" vertical="center"/>
    </xf>
    <xf numFmtId="4" fontId="25" fillId="0" borderId="0" xfId="1" applyNumberFormat="1" applyFont="1" applyBorder="1" applyAlignment="1" applyProtection="1"/>
    <xf numFmtId="49" fontId="19" fillId="0" borderId="0" xfId="1" applyNumberFormat="1" applyFont="1" applyBorder="1" applyAlignment="1" applyProtection="1">
      <alignment horizontal="center" vertical="top"/>
    </xf>
    <xf numFmtId="0" fontId="19" fillId="0" borderId="0" xfId="1" applyFont="1" applyBorder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left" vertical="center" wrapText="1"/>
    </xf>
    <xf numFmtId="164" fontId="18" fillId="0" borderId="0" xfId="1" applyNumberFormat="1" applyFont="1" applyBorder="1" applyAlignment="1" applyProtection="1">
      <alignment vertical="center"/>
    </xf>
    <xf numFmtId="0" fontId="19" fillId="0" borderId="0" xfId="1" applyFont="1" applyAlignment="1" applyProtection="1">
      <alignment vertical="center" wrapText="1"/>
    </xf>
    <xf numFmtId="0" fontId="19" fillId="0" borderId="0" xfId="1" applyFont="1" applyBorder="1" applyAlignment="1" applyProtection="1">
      <alignment horizontal="right"/>
    </xf>
    <xf numFmtId="0" fontId="28" fillId="0" borderId="11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left" vertical="center"/>
    </xf>
    <xf numFmtId="164" fontId="18" fillId="0" borderId="11" xfId="1" applyNumberFormat="1" applyFont="1" applyBorder="1" applyAlignment="1" applyProtection="1">
      <alignment horizontal="right" vertical="center"/>
    </xf>
    <xf numFmtId="0" fontId="28" fillId="0" borderId="2" xfId="1" applyFont="1" applyBorder="1" applyAlignment="1" applyProtection="1">
      <alignment horizontal="center"/>
    </xf>
    <xf numFmtId="0" fontId="18" fillId="0" borderId="2" xfId="1" applyFont="1" applyBorder="1" applyAlignment="1" applyProtection="1">
      <alignment horizontal="left" vertical="center"/>
    </xf>
    <xf numFmtId="164" fontId="18" fillId="0" borderId="2" xfId="1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164" fontId="4" fillId="0" borderId="0" xfId="0" applyNumberFormat="1" applyFont="1" applyProtection="1"/>
    <xf numFmtId="164" fontId="14" fillId="0" borderId="0" xfId="0" applyNumberFormat="1" applyFont="1" applyProtection="1"/>
    <xf numFmtId="4" fontId="4" fillId="0" borderId="2" xfId="0" applyNumberFormat="1" applyFont="1" applyBorder="1" applyProtection="1"/>
    <xf numFmtId="0" fontId="3" fillId="0" borderId="0" xfId="0" applyFont="1" applyProtection="1"/>
    <xf numFmtId="164" fontId="15" fillId="0" borderId="0" xfId="0" applyNumberFormat="1" applyFont="1" applyProtection="1"/>
    <xf numFmtId="164" fontId="3" fillId="0" borderId="0" xfId="0" applyNumberFormat="1" applyFont="1" applyProtection="1"/>
    <xf numFmtId="0" fontId="3" fillId="2" borderId="0" xfId="0" applyFont="1" applyFill="1" applyProtection="1"/>
    <xf numFmtId="4" fontId="4" fillId="0" borderId="0" xfId="0" applyNumberFormat="1" applyFont="1" applyBorder="1" applyProtection="1"/>
    <xf numFmtId="0" fontId="3" fillId="0" borderId="0" xfId="0" applyFont="1" applyBorder="1" applyProtection="1"/>
    <xf numFmtId="0" fontId="4" fillId="2" borderId="0" xfId="1" applyFont="1" applyFill="1" applyAlignment="1" applyProtection="1">
      <alignment horizontal="justify" vertical="justify"/>
    </xf>
    <xf numFmtId="0" fontId="3" fillId="0" borderId="0" xfId="0" applyFont="1" applyFill="1" applyProtection="1"/>
    <xf numFmtId="164" fontId="3" fillId="0" borderId="0" xfId="0" applyNumberFormat="1" applyFont="1" applyFill="1" applyProtection="1"/>
    <xf numFmtId="4" fontId="3" fillId="0" borderId="0" xfId="0" applyNumberFormat="1" applyFont="1" applyFill="1" applyBorder="1" applyProtection="1"/>
    <xf numFmtId="164" fontId="3" fillId="0" borderId="0" xfId="0" applyNumberFormat="1" applyFont="1" applyBorder="1" applyProtection="1"/>
    <xf numFmtId="0" fontId="4" fillId="0" borderId="0" xfId="0" applyFont="1" applyFill="1" applyAlignment="1" applyProtection="1">
      <alignment horizontal="right" vertical="justify" wrapText="1"/>
    </xf>
    <xf numFmtId="0" fontId="4" fillId="2" borderId="0" xfId="0" applyFont="1" applyFill="1" applyProtection="1"/>
    <xf numFmtId="49" fontId="4" fillId="0" borderId="0" xfId="0" applyNumberFormat="1" applyFont="1" applyAlignment="1" applyProtection="1">
      <alignment horizontal="center" vertical="top"/>
    </xf>
    <xf numFmtId="4" fontId="4" fillId="0" borderId="0" xfId="0" applyNumberFormat="1" applyFont="1" applyFill="1" applyAlignment="1" applyProtection="1">
      <alignment horizontal="center" wrapText="1"/>
    </xf>
    <xf numFmtId="4" fontId="4" fillId="0" borderId="1" xfId="0" applyNumberFormat="1" applyFont="1" applyBorder="1" applyAlignment="1" applyProtection="1">
      <alignment horizontal="right"/>
    </xf>
    <xf numFmtId="0" fontId="18" fillId="0" borderId="0" xfId="1" applyFont="1" applyAlignment="1" applyProtection="1">
      <alignment horizontal="center" vertical="center" wrapText="1"/>
    </xf>
    <xf numFmtId="0" fontId="18" fillId="0" borderId="0" xfId="1" applyFont="1" applyAlignment="1" applyProtection="1">
      <alignment vertical="center" wrapText="1"/>
    </xf>
    <xf numFmtId="4" fontId="18" fillId="0" borderId="0" xfId="1" applyNumberFormat="1" applyFont="1" applyAlignment="1" applyProtection="1">
      <alignment horizontal="right" vertical="center" wrapText="1"/>
    </xf>
    <xf numFmtId="165" fontId="19" fillId="0" borderId="0" xfId="1" applyNumberFormat="1" applyFont="1" applyAlignment="1" applyProtection="1">
      <alignment vertical="center" wrapText="1"/>
    </xf>
    <xf numFmtId="165" fontId="18" fillId="0" borderId="0" xfId="1" applyNumberFormat="1" applyFont="1" applyAlignment="1" applyProtection="1">
      <alignment horizontal="right" vertical="center" wrapText="1"/>
    </xf>
    <xf numFmtId="0" fontId="17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horizontal="center" vertical="center" wrapText="1" shrinkToFit="1"/>
    </xf>
    <xf numFmtId="0" fontId="19" fillId="0" borderId="0" xfId="1" applyFont="1" applyAlignment="1" applyProtection="1">
      <alignment horizontal="left" vertical="center" wrapText="1"/>
    </xf>
    <xf numFmtId="4" fontId="19" fillId="0" borderId="0" xfId="1" applyNumberFormat="1" applyFont="1" applyAlignment="1" applyProtection="1">
      <alignment horizontal="right" vertical="center" wrapText="1"/>
    </xf>
    <xf numFmtId="165" fontId="19" fillId="0" borderId="0" xfId="1" applyNumberFormat="1" applyFont="1" applyAlignment="1" applyProtection="1">
      <alignment horizontal="right" vertical="center" wrapText="1"/>
    </xf>
    <xf numFmtId="0" fontId="19" fillId="0" borderId="0" xfId="1" applyFont="1" applyAlignment="1" applyProtection="1">
      <alignment horizontal="center" vertical="center" wrapText="1"/>
    </xf>
    <xf numFmtId="4" fontId="19" fillId="0" borderId="0" xfId="1" applyNumberFormat="1" applyFont="1" applyAlignment="1" applyProtection="1">
      <alignment vertical="center" wrapText="1"/>
    </xf>
    <xf numFmtId="0" fontId="2" fillId="0" borderId="0" xfId="1" applyAlignment="1" applyProtection="1">
      <alignment vertical="center" wrapText="1"/>
    </xf>
    <xf numFmtId="3" fontId="19" fillId="0" borderId="0" xfId="1" applyNumberFormat="1" applyFont="1" applyAlignment="1" applyProtection="1">
      <alignment horizontal="center" vertical="center" wrapText="1"/>
    </xf>
    <xf numFmtId="49" fontId="19" fillId="0" borderId="0" xfId="1" applyNumberFormat="1" applyFont="1" applyAlignment="1" applyProtection="1">
      <alignment vertical="center" wrapText="1"/>
    </xf>
    <xf numFmtId="4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center" vertical="center" wrapText="1"/>
    </xf>
    <xf numFmtId="0" fontId="18" fillId="0" borderId="12" xfId="1" applyFont="1" applyBorder="1" applyAlignment="1" applyProtection="1">
      <alignment vertical="center" wrapText="1"/>
    </xf>
    <xf numFmtId="165" fontId="18" fillId="0" borderId="12" xfId="1" applyNumberFormat="1" applyFont="1" applyBorder="1" applyAlignment="1" applyProtection="1">
      <alignment horizontal="right" vertical="center" wrapText="1"/>
    </xf>
    <xf numFmtId="0" fontId="2" fillId="0" borderId="0" xfId="1" applyProtection="1"/>
    <xf numFmtId="0" fontId="18" fillId="0" borderId="0" xfId="3" applyFont="1" applyAlignment="1" applyProtection="1">
      <alignment horizontal="left" vertical="top" wrapText="1"/>
    </xf>
    <xf numFmtId="0" fontId="1" fillId="0" borderId="0" xfId="4" applyAlignment="1" applyProtection="1">
      <alignment horizontal="left" vertical="top"/>
    </xf>
    <xf numFmtId="0" fontId="19" fillId="0" borderId="0" xfId="3" applyFont="1" applyAlignment="1" applyProtection="1">
      <alignment horizontal="left" vertical="top"/>
    </xf>
    <xf numFmtId="49" fontId="19" fillId="0" borderId="0" xfId="3" applyNumberFormat="1" applyFont="1" applyAlignment="1" applyProtection="1">
      <alignment horizontal="left" vertical="top"/>
    </xf>
    <xf numFmtId="4" fontId="19" fillId="0" borderId="0" xfId="3" applyNumberFormat="1" applyFont="1" applyAlignment="1" applyProtection="1">
      <alignment horizontal="left" vertical="top"/>
    </xf>
    <xf numFmtId="0" fontId="19" fillId="0" borderId="0" xfId="3" applyFont="1" applyAlignment="1" applyProtection="1">
      <alignment horizontal="left" vertical="top" wrapText="1"/>
    </xf>
    <xf numFmtId="4" fontId="19" fillId="0" borderId="0" xfId="3" applyNumberFormat="1" applyFont="1" applyAlignment="1" applyProtection="1">
      <alignment horizontal="left" vertical="top" wrapText="1"/>
    </xf>
    <xf numFmtId="0" fontId="20" fillId="0" borderId="0" xfId="3" applyFont="1" applyAlignment="1" applyProtection="1">
      <alignment horizontal="left" vertical="top" wrapText="1"/>
    </xf>
    <xf numFmtId="0" fontId="21" fillId="0" borderId="0" xfId="3" applyFont="1" applyAlignment="1" applyProtection="1">
      <alignment horizontal="left" vertical="top"/>
    </xf>
    <xf numFmtId="49" fontId="19" fillId="0" borderId="1" xfId="3" applyNumberFormat="1" applyFont="1" applyBorder="1" applyAlignment="1" applyProtection="1">
      <alignment horizontal="left" vertical="top"/>
    </xf>
    <xf numFmtId="49" fontId="19" fillId="0" borderId="1" xfId="3" applyNumberFormat="1" applyFont="1" applyBorder="1" applyAlignment="1" applyProtection="1">
      <alignment horizontal="left" vertical="top" wrapText="1"/>
    </xf>
    <xf numFmtId="4" fontId="19" fillId="0" borderId="1" xfId="3" applyNumberFormat="1" applyFont="1" applyBorder="1" applyAlignment="1" applyProtection="1">
      <alignment horizontal="left" vertical="top"/>
    </xf>
    <xf numFmtId="0" fontId="1" fillId="0" borderId="0" xfId="4" applyProtection="1"/>
    <xf numFmtId="0" fontId="18" fillId="0" borderId="0" xfId="3" applyFont="1" applyAlignment="1" applyProtection="1">
      <alignment wrapText="1"/>
    </xf>
    <xf numFmtId="0" fontId="24" fillId="3" borderId="17" xfId="6" applyFont="1" applyFill="1" applyBorder="1" applyAlignment="1" applyProtection="1">
      <alignment horizontal="left" vertical="top" wrapText="1"/>
    </xf>
    <xf numFmtId="0" fontId="24" fillId="3" borderId="16" xfId="6" applyFont="1" applyFill="1" applyBorder="1" applyAlignment="1" applyProtection="1">
      <alignment horizontal="left" vertical="center"/>
    </xf>
    <xf numFmtId="4" fontId="24" fillId="3" borderId="15" xfId="6" applyNumberFormat="1" applyFont="1" applyFill="1" applyBorder="1" applyAlignment="1" applyProtection="1">
      <alignment horizontal="center" vertical="center"/>
    </xf>
    <xf numFmtId="4" fontId="24" fillId="3" borderId="15" xfId="6" applyNumberFormat="1" applyFont="1" applyFill="1" applyBorder="1" applyAlignment="1" applyProtection="1">
      <alignment horizontal="center" vertical="center" wrapText="1"/>
    </xf>
    <xf numFmtId="4" fontId="24" fillId="3" borderId="14" xfId="6" applyNumberFormat="1" applyFont="1" applyFill="1" applyBorder="1" applyAlignment="1" applyProtection="1">
      <alignment horizontal="center" vertical="center" wrapText="1"/>
    </xf>
    <xf numFmtId="0" fontId="18" fillId="0" borderId="0" xfId="4" applyFont="1" applyAlignment="1" applyProtection="1">
      <alignment horizontal="center" vertical="top"/>
    </xf>
    <xf numFmtId="0" fontId="19" fillId="0" borderId="0" xfId="4" applyFont="1" applyAlignment="1" applyProtection="1">
      <alignment horizontal="left" vertical="center" wrapText="1"/>
    </xf>
    <xf numFmtId="0" fontId="19" fillId="0" borderId="0" xfId="4" applyFont="1" applyAlignment="1" applyProtection="1">
      <alignment horizontal="center" wrapText="1"/>
    </xf>
    <xf numFmtId="4" fontId="19" fillId="0" borderId="0" xfId="5" applyNumberFormat="1" applyFont="1" applyAlignment="1" applyProtection="1">
      <alignment horizontal="right" wrapText="1"/>
    </xf>
    <xf numFmtId="0" fontId="19" fillId="0" borderId="0" xfId="4" applyFont="1" applyAlignment="1" applyProtection="1">
      <alignment vertical="center" wrapText="1"/>
    </xf>
    <xf numFmtId="0" fontId="19" fillId="0" borderId="0" xfId="4" applyFont="1" applyAlignment="1" applyProtection="1">
      <alignment horizontal="left" vertical="justify" wrapText="1"/>
    </xf>
    <xf numFmtId="0" fontId="19" fillId="0" borderId="0" xfId="4" applyFont="1" applyAlignment="1" applyProtection="1">
      <alignment horizontal="center"/>
    </xf>
    <xf numFmtId="0" fontId="19" fillId="0" borderId="0" xfId="4" applyFont="1" applyAlignment="1" applyProtection="1">
      <alignment horizontal="right"/>
    </xf>
    <xf numFmtId="4" fontId="19" fillId="0" borderId="0" xfId="4" applyNumberFormat="1" applyFont="1" applyAlignment="1" applyProtection="1">
      <alignment horizontal="center"/>
    </xf>
    <xf numFmtId="0" fontId="18" fillId="0" borderId="13" xfId="4" applyFont="1" applyBorder="1" applyAlignment="1" applyProtection="1">
      <alignment horizontal="center" vertical="top"/>
    </xf>
    <xf numFmtId="0" fontId="18" fillId="0" borderId="13" xfId="4" applyFont="1" applyBorder="1" applyAlignment="1" applyProtection="1">
      <alignment horizontal="left" vertical="justify"/>
    </xf>
    <xf numFmtId="0" fontId="18" fillId="0" borderId="13" xfId="4" applyFont="1" applyBorder="1" applyAlignment="1" applyProtection="1">
      <alignment horizontal="center"/>
    </xf>
    <xf numFmtId="0" fontId="19" fillId="0" borderId="13" xfId="4" applyFont="1" applyBorder="1" applyProtection="1"/>
    <xf numFmtId="4" fontId="19" fillId="0" borderId="13" xfId="4" applyNumberFormat="1" applyFont="1" applyBorder="1" applyAlignment="1" applyProtection="1">
      <alignment horizontal="right"/>
    </xf>
    <xf numFmtId="49" fontId="18" fillId="0" borderId="0" xfId="3" applyNumberFormat="1" applyFont="1" applyAlignment="1" applyProtection="1">
      <alignment horizontal="left" vertical="top" wrapText="1"/>
    </xf>
    <xf numFmtId="4" fontId="4" fillId="0" borderId="0" xfId="0" applyNumberFormat="1" applyFont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2" xfId="0" applyNumberFormat="1" applyFont="1" applyFill="1" applyBorder="1" applyProtection="1">
      <protection locked="0"/>
    </xf>
    <xf numFmtId="4" fontId="4" fillId="0" borderId="0" xfId="0" applyNumberFormat="1" applyFont="1" applyFill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horizontal="justify" vertical="justify" wrapText="1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 applyProtection="1">
      <alignment horizontal="right" vertical="justify" wrapText="1"/>
      <protection locked="0"/>
    </xf>
    <xf numFmtId="4" fontId="4" fillId="0" borderId="0" xfId="0" applyNumberFormat="1" applyFont="1" applyFill="1" applyAlignment="1" applyProtection="1"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4" fontId="4" fillId="0" borderId="2" xfId="0" applyNumberFormat="1" applyFont="1" applyFill="1" applyBorder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protection locked="0"/>
    </xf>
    <xf numFmtId="4" fontId="3" fillId="0" borderId="0" xfId="0" applyNumberFormat="1" applyFont="1" applyAlignment="1" applyProtection="1">
      <protection locked="0"/>
    </xf>
    <xf numFmtId="4" fontId="4" fillId="0" borderId="0" xfId="0" applyNumberFormat="1" applyFont="1" applyFill="1" applyAlignment="1" applyProtection="1">
      <alignment horizontal="justify" vertical="justify"/>
      <protection locked="0"/>
    </xf>
    <xf numFmtId="4" fontId="4" fillId="0" borderId="0" xfId="0" applyNumberFormat="1" applyFont="1" applyFill="1" applyBorder="1" applyProtection="1">
      <protection locked="0"/>
    </xf>
    <xf numFmtId="165" fontId="19" fillId="0" borderId="0" xfId="1" applyNumberFormat="1" applyFont="1" applyAlignment="1" applyProtection="1">
      <alignment horizontal="right" vertical="center" wrapText="1"/>
      <protection locked="0"/>
    </xf>
    <xf numFmtId="165" fontId="19" fillId="0" borderId="0" xfId="1" applyNumberFormat="1" applyFont="1" applyBorder="1" applyAlignment="1" applyProtection="1">
      <alignment vertical="center" wrapText="1"/>
      <protection locked="0"/>
    </xf>
    <xf numFmtId="165" fontId="19" fillId="0" borderId="0" xfId="1" applyNumberFormat="1" applyFont="1" applyBorder="1" applyAlignment="1" applyProtection="1">
      <alignment horizontal="right" vertical="center" wrapText="1"/>
      <protection locked="0"/>
    </xf>
    <xf numFmtId="165" fontId="19" fillId="0" borderId="0" xfId="1" applyNumberFormat="1" applyFont="1" applyAlignment="1" applyProtection="1">
      <alignment vertical="center" wrapText="1"/>
      <protection locked="0"/>
    </xf>
    <xf numFmtId="4" fontId="19" fillId="0" borderId="0" xfId="1" applyNumberFormat="1" applyFont="1" applyAlignment="1" applyProtection="1">
      <alignment horizontal="center" vertical="center" wrapText="1"/>
      <protection locked="0"/>
    </xf>
    <xf numFmtId="4" fontId="19" fillId="0" borderId="0" xfId="1" applyNumberFormat="1" applyFont="1" applyAlignment="1" applyProtection="1">
      <alignment vertical="center" wrapText="1"/>
      <protection locked="0"/>
    </xf>
    <xf numFmtId="4" fontId="19" fillId="0" borderId="0" xfId="3" applyNumberFormat="1" applyFont="1" applyAlignment="1" applyProtection="1">
      <alignment horizontal="left" vertical="top"/>
      <protection locked="0"/>
    </xf>
    <xf numFmtId="4" fontId="19" fillId="0" borderId="0" xfId="5" applyNumberFormat="1" applyFont="1" applyAlignment="1" applyProtection="1">
      <alignment wrapText="1"/>
      <protection locked="0"/>
    </xf>
    <xf numFmtId="0" fontId="4" fillId="0" borderId="0" xfId="1" applyFont="1" applyFill="1" applyAlignment="1" applyProtection="1">
      <alignment horizontal="justify" vertical="justify"/>
    </xf>
    <xf numFmtId="0" fontId="31" fillId="0" borderId="0" xfId="0" applyFont="1" applyAlignment="1">
      <alignment horizontal="justify" vertical="justify" wrapText="1"/>
    </xf>
    <xf numFmtId="0" fontId="31" fillId="0" borderId="0" xfId="0" applyFont="1" applyAlignment="1" applyProtection="1">
      <alignment horizontal="justify" vertical="justify" wrapText="1"/>
    </xf>
    <xf numFmtId="0" fontId="26" fillId="0" borderId="10" xfId="1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justify" vertical="justify" wrapText="1"/>
    </xf>
    <xf numFmtId="0" fontId="0" fillId="0" borderId="0" xfId="0" applyAlignment="1" applyProtection="1"/>
    <xf numFmtId="0" fontId="18" fillId="0" borderId="0" xfId="3" applyFont="1" applyAlignment="1" applyProtection="1">
      <alignment horizontal="left" vertical="top" wrapText="1"/>
    </xf>
    <xf numFmtId="0" fontId="1" fillId="0" borderId="0" xfId="4" applyAlignment="1" applyProtection="1">
      <alignment horizontal="left" vertical="top"/>
    </xf>
    <xf numFmtId="0" fontId="4" fillId="4" borderId="0" xfId="0" applyFont="1" applyFill="1" applyAlignment="1" applyProtection="1">
      <alignment horizontal="justify" vertical="justify" wrapText="1"/>
    </xf>
  </cellXfs>
  <cellStyles count="7">
    <cellStyle name="Navadno 2" xfId="1" xr:uid="{00000000-0005-0000-0000-000000000000}"/>
    <cellStyle name="Navadno_PON-1DEL" xfId="5" xr:uid="{CE527CC0-DA2C-421A-AFC2-18A12109AB0D}"/>
    <cellStyle name="Normal" xfId="0" builtinId="0"/>
    <cellStyle name="Normal 2" xfId="2" xr:uid="{00000000-0005-0000-0000-000002000000}"/>
    <cellStyle name="Normal 2 2" xfId="3" xr:uid="{03F14BA7-D2A0-43D3-943F-E3834F36B631}"/>
    <cellStyle name="Normal 3" xfId="4" xr:uid="{6481C6DD-A3E9-4A18-BC59-4D056AA30F86}"/>
    <cellStyle name="Normal_Kino Siska_predr_ZU" xfId="6" xr:uid="{2EC11B4C-2B57-456C-92A8-BAE0F6554C1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opLeftCell="A13" workbookViewId="0">
      <selection activeCell="B15" sqref="B15"/>
    </sheetView>
  </sheetViews>
  <sheetFormatPr defaultColWidth="9.109375" defaultRowHeight="13.2"/>
  <cols>
    <col min="1" max="1" width="9.109375" style="101"/>
    <col min="2" max="2" width="41.33203125" style="102" customWidth="1"/>
    <col min="3" max="3" width="32.88671875" style="102" customWidth="1"/>
    <col min="4" max="16384" width="9.109375" style="101"/>
  </cols>
  <sheetData>
    <row r="1" spans="1:3" ht="13.8" thickBot="1"/>
    <row r="2" spans="1:3" ht="13.8" thickTop="1">
      <c r="A2" s="103"/>
      <c r="B2" s="104"/>
      <c r="C2" s="105"/>
    </row>
    <row r="3" spans="1:3" ht="15">
      <c r="A3" s="106"/>
      <c r="B3" s="107" t="s">
        <v>323</v>
      </c>
      <c r="C3" s="99"/>
    </row>
    <row r="4" spans="1:3" ht="15">
      <c r="A4" s="106"/>
      <c r="B4" s="107"/>
      <c r="C4" s="108"/>
    </row>
    <row r="5" spans="1:3" ht="15">
      <c r="A5" s="106"/>
      <c r="B5" s="107" t="s">
        <v>324</v>
      </c>
      <c r="C5" s="109" t="s">
        <v>314</v>
      </c>
    </row>
    <row r="6" spans="1:3" ht="15">
      <c r="A6" s="106"/>
      <c r="B6" s="107"/>
      <c r="C6" s="109" t="s">
        <v>315</v>
      </c>
    </row>
    <row r="7" spans="1:3" ht="15">
      <c r="A7" s="106"/>
      <c r="B7" s="107"/>
      <c r="C7" s="108"/>
    </row>
    <row r="8" spans="1:3" ht="15">
      <c r="A8" s="106"/>
      <c r="B8" s="107"/>
      <c r="C8" s="110"/>
    </row>
    <row r="9" spans="1:3" ht="15">
      <c r="A9" s="111"/>
      <c r="B9" s="107" t="s">
        <v>316</v>
      </c>
      <c r="C9" s="108" t="s">
        <v>317</v>
      </c>
    </row>
    <row r="10" spans="1:3" ht="15">
      <c r="A10" s="111"/>
      <c r="B10" s="107"/>
      <c r="C10" s="112"/>
    </row>
    <row r="11" spans="1:3" ht="15">
      <c r="A11" s="111"/>
      <c r="B11" s="107" t="s">
        <v>198</v>
      </c>
      <c r="C11" s="99"/>
    </row>
    <row r="12" spans="1:3" ht="15">
      <c r="A12" s="111"/>
      <c r="B12" s="107"/>
      <c r="C12" s="100"/>
    </row>
    <row r="13" spans="1:3" ht="15">
      <c r="A13" s="111"/>
      <c r="B13" s="107"/>
      <c r="C13" s="108"/>
    </row>
    <row r="14" spans="1:3" ht="15">
      <c r="A14" s="111"/>
      <c r="B14" s="107"/>
      <c r="C14" s="112"/>
    </row>
    <row r="15" spans="1:3" ht="15">
      <c r="A15" s="111"/>
      <c r="B15" s="107"/>
      <c r="C15" s="108"/>
    </row>
    <row r="16" spans="1:3" ht="15.6" thickBot="1">
      <c r="A16" s="113"/>
      <c r="B16" s="114"/>
      <c r="C16" s="243"/>
    </row>
    <row r="17" spans="1:3" ht="13.8" thickTop="1"/>
    <row r="18" spans="1:3" ht="17.399999999999999">
      <c r="A18" s="115"/>
      <c r="B18" s="116" t="s">
        <v>75</v>
      </c>
      <c r="C18" s="117"/>
    </row>
    <row r="19" spans="1:3" ht="13.8">
      <c r="A19" s="115"/>
      <c r="B19" s="117"/>
      <c r="C19" s="117"/>
    </row>
    <row r="20" spans="1:3" ht="13.8">
      <c r="A20" s="118" t="s">
        <v>295</v>
      </c>
      <c r="B20" s="119" t="s">
        <v>311</v>
      </c>
      <c r="C20" s="120"/>
    </row>
    <row r="21" spans="1:3" ht="13.8">
      <c r="A21" s="121" t="s">
        <v>297</v>
      </c>
      <c r="B21" s="117" t="s">
        <v>76</v>
      </c>
      <c r="C21" s="122">
        <f>+'1 Rekonstrukcija 7A'!F204</f>
        <v>0</v>
      </c>
    </row>
    <row r="22" spans="1:3" ht="13.8">
      <c r="A22" s="121" t="s">
        <v>298</v>
      </c>
      <c r="B22" s="117" t="s">
        <v>189</v>
      </c>
      <c r="C22" s="122">
        <f>SUM(C23:C24)</f>
        <v>0</v>
      </c>
    </row>
    <row r="23" spans="1:3" ht="13.8">
      <c r="A23" s="121" t="s">
        <v>299</v>
      </c>
      <c r="B23" s="123" t="s">
        <v>132</v>
      </c>
      <c r="C23" s="124">
        <f>'2.1 Rekonstrukcija 7B(1. etapa)'!F17</f>
        <v>0</v>
      </c>
    </row>
    <row r="24" spans="1:3" ht="13.8">
      <c r="A24" s="121" t="s">
        <v>300</v>
      </c>
      <c r="B24" s="123" t="s">
        <v>182</v>
      </c>
      <c r="C24" s="124">
        <f>+'2.2 Rekonstrukcija 7B(2. etapa)'!F211</f>
        <v>0</v>
      </c>
    </row>
    <row r="25" spans="1:3" ht="13.8">
      <c r="A25" s="121"/>
      <c r="B25" s="125"/>
      <c r="C25" s="126"/>
    </row>
    <row r="26" spans="1:3" ht="13.8">
      <c r="A26" s="121"/>
      <c r="B26" s="117" t="s">
        <v>306</v>
      </c>
      <c r="C26" s="122">
        <f>C21+C22</f>
        <v>0</v>
      </c>
    </row>
    <row r="27" spans="1:3" ht="13.8">
      <c r="A27" s="127"/>
      <c r="B27" s="128" t="s">
        <v>307</v>
      </c>
      <c r="C27" s="122">
        <f>0.05*C26</f>
        <v>0</v>
      </c>
    </row>
    <row r="28" spans="1:3" ht="13.8">
      <c r="A28" s="127"/>
      <c r="B28" s="128"/>
      <c r="C28" s="122"/>
    </row>
    <row r="29" spans="1:3" ht="13.8">
      <c r="A29" s="127"/>
      <c r="B29" s="129" t="s">
        <v>309</v>
      </c>
      <c r="C29" s="130">
        <f>+C26+C27</f>
        <v>0</v>
      </c>
    </row>
    <row r="30" spans="1:3" ht="13.8">
      <c r="A30" s="127"/>
      <c r="B30" s="128"/>
      <c r="C30" s="122"/>
    </row>
    <row r="31" spans="1:3" ht="13.8">
      <c r="A31" s="118" t="s">
        <v>296</v>
      </c>
      <c r="B31" s="129" t="s">
        <v>312</v>
      </c>
      <c r="C31" s="122"/>
    </row>
    <row r="32" spans="1:3" ht="13.8">
      <c r="A32" s="127" t="s">
        <v>301</v>
      </c>
      <c r="B32" s="131" t="str">
        <f>'3 Sanacija pripravljalna dela'!B1</f>
        <v>Sanacija - pripravljalna dela</v>
      </c>
      <c r="C32" s="122">
        <f>+'3 Sanacija pripravljalna dela'!F16</f>
        <v>0</v>
      </c>
    </row>
    <row r="33" spans="1:3" ht="13.8">
      <c r="A33" s="127" t="s">
        <v>302</v>
      </c>
      <c r="B33" s="128" t="str">
        <f>+'4 Sanacija vez 7A'!B1</f>
        <v>Vez 7A - sanacija tirnih nosilcev</v>
      </c>
      <c r="C33" s="122">
        <f>+'4 Sanacija vez 7A'!E51</f>
        <v>0</v>
      </c>
    </row>
    <row r="34" spans="1:3" ht="13.8">
      <c r="A34" s="127" t="s">
        <v>303</v>
      </c>
      <c r="B34" s="117" t="str">
        <f>+'5 Sanacija vez 7B'!B1</f>
        <v>Vez 7B - sanacija tirnih nosilcev in prečnikov</v>
      </c>
      <c r="C34" s="122">
        <f>+'5 Sanacija vez 7B'!E67</f>
        <v>0</v>
      </c>
    </row>
    <row r="35" spans="1:3" ht="13.8">
      <c r="A35" s="127" t="s">
        <v>304</v>
      </c>
      <c r="B35" s="128" t="str">
        <f>+'6 Katodna vez 7A'!B1</f>
        <v>Vez 7A - katodna zaščita</v>
      </c>
      <c r="C35" s="122">
        <f>+'6 Katodna vez 7A'!F39</f>
        <v>0</v>
      </c>
    </row>
    <row r="36" spans="1:3" ht="13.8">
      <c r="A36" s="127" t="s">
        <v>305</v>
      </c>
      <c r="B36" s="128" t="str">
        <f>+'7 Katodna vez 7B'!B1</f>
        <v>Vez 7B - katodna zaščita</v>
      </c>
      <c r="C36" s="122">
        <f>+'7 Katodna vez 7B'!F29</f>
        <v>0</v>
      </c>
    </row>
    <row r="37" spans="1:3" ht="13.8">
      <c r="A37" s="127"/>
      <c r="B37" s="128"/>
      <c r="C37" s="122"/>
    </row>
    <row r="38" spans="1:3" ht="13.8">
      <c r="A38" s="127"/>
      <c r="B38" s="129" t="s">
        <v>310</v>
      </c>
      <c r="C38" s="130">
        <f>SUM(C32:C36)</f>
        <v>0</v>
      </c>
    </row>
    <row r="39" spans="1:3" ht="13.8">
      <c r="A39" s="121"/>
      <c r="B39" s="120"/>
      <c r="C39" s="132"/>
    </row>
    <row r="40" spans="1:3" ht="13.8">
      <c r="A40" s="133"/>
      <c r="B40" s="134" t="s">
        <v>313</v>
      </c>
      <c r="C40" s="135">
        <f>+C29+C38</f>
        <v>0</v>
      </c>
    </row>
    <row r="41" spans="1:3" ht="13.8">
      <c r="A41" s="136"/>
      <c r="B41" s="137"/>
      <c r="C41" s="138"/>
    </row>
  </sheetData>
  <sheetProtection algorithmName="SHA-512" hashValue="Gp1JBWaHTMxJ7yNyF8KVSglAtZGNZ875DGz8Nng54o2ntqZizhfpN+R07gIEO36NhEbvQsnjHxPeeOEKchw9lQ==" saltValue="0C9RjQLrfsmsV5dmIdiJJw==" spinCount="100000"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&amp;Lver. 2020-12-02&amp;C&amp;8&amp;P/&amp;N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1"/>
  <sheetViews>
    <sheetView showZeros="0" view="pageBreakPreview" zoomScaleNormal="100" zoomScaleSheetLayoutView="100" workbookViewId="0">
      <pane ySplit="6" topLeftCell="A145" activePane="bottomLeft" state="frozen"/>
      <selection activeCell="C32" sqref="C32"/>
      <selection pane="bottomLeft" activeCell="D6" sqref="D6"/>
    </sheetView>
  </sheetViews>
  <sheetFormatPr defaultColWidth="9.109375" defaultRowHeight="13.2"/>
  <cols>
    <col min="1" max="1" width="4.6640625" style="56" customWidth="1"/>
    <col min="2" max="2" width="43.109375" style="58" customWidth="1"/>
    <col min="3" max="3" width="7.88671875" style="57" bestFit="1" customWidth="1"/>
    <col min="4" max="4" width="9.88671875" style="57" bestFit="1" customWidth="1"/>
    <col min="5" max="5" width="9" style="31" bestFit="1" customWidth="1"/>
    <col min="6" max="6" width="10.88671875" style="31" bestFit="1" customWidth="1"/>
    <col min="7" max="7" width="9.109375" style="143"/>
    <col min="8" max="8" width="9.6640625" style="145" bestFit="1" customWidth="1"/>
    <col min="9" max="16384" width="9.109375" style="143"/>
  </cols>
  <sheetData>
    <row r="1" spans="1:8">
      <c r="B1" s="242" t="s">
        <v>327</v>
      </c>
    </row>
    <row r="3" spans="1:8" s="139" customFormat="1" ht="30.75" customHeight="1">
      <c r="A3" s="7"/>
      <c r="B3" s="245" t="s">
        <v>66</v>
      </c>
      <c r="C3" s="245"/>
      <c r="D3" s="245"/>
      <c r="E3" s="8"/>
      <c r="F3" s="8"/>
      <c r="H3" s="140"/>
    </row>
    <row r="4" spans="1:8" s="139" customFormat="1">
      <c r="A4" s="9"/>
      <c r="B4" s="97" t="s">
        <v>43</v>
      </c>
      <c r="C4" s="10"/>
      <c r="D4" s="10"/>
      <c r="E4" s="8"/>
      <c r="F4" s="8"/>
      <c r="H4" s="140"/>
    </row>
    <row r="5" spans="1:8" s="139" customFormat="1">
      <c r="A5" s="9"/>
      <c r="B5" s="97"/>
      <c r="C5" s="10"/>
      <c r="D5" s="10"/>
      <c r="E5" s="8"/>
      <c r="F5" s="8"/>
      <c r="H5" s="140"/>
    </row>
    <row r="6" spans="1:8" s="139" customFormat="1">
      <c r="A6" s="80" t="s">
        <v>184</v>
      </c>
      <c r="B6" s="78" t="s">
        <v>186</v>
      </c>
      <c r="C6" s="79"/>
      <c r="D6" s="81" t="s">
        <v>185</v>
      </c>
      <c r="E6" s="81" t="s">
        <v>187</v>
      </c>
      <c r="F6" s="81" t="s">
        <v>188</v>
      </c>
      <c r="H6" s="140"/>
    </row>
    <row r="7" spans="1:8" s="139" customFormat="1">
      <c r="A7" s="80"/>
      <c r="B7" s="78"/>
      <c r="C7" s="79"/>
      <c r="D7" s="81"/>
      <c r="E7" s="81"/>
      <c r="F7" s="81"/>
      <c r="H7" s="140"/>
    </row>
    <row r="8" spans="1:8" s="139" customFormat="1">
      <c r="A8" s="244" t="s">
        <v>10</v>
      </c>
      <c r="B8" s="244"/>
      <c r="C8" s="244"/>
      <c r="D8" s="244"/>
      <c r="E8" s="8"/>
      <c r="F8" s="8"/>
      <c r="H8" s="140"/>
    </row>
    <row r="9" spans="1:8" s="139" customFormat="1">
      <c r="A9" s="96"/>
      <c r="B9" s="96"/>
      <c r="C9" s="96"/>
      <c r="D9" s="59"/>
      <c r="E9" s="8"/>
      <c r="F9" s="8"/>
      <c r="H9" s="140"/>
    </row>
    <row r="10" spans="1:8" s="139" customFormat="1" ht="92.4">
      <c r="A10" s="11" t="s">
        <v>1</v>
      </c>
      <c r="B10" s="12" t="s">
        <v>16</v>
      </c>
      <c r="C10" s="10"/>
      <c r="D10" s="10"/>
      <c r="E10" s="8"/>
      <c r="F10" s="8"/>
      <c r="H10" s="140"/>
    </row>
    <row r="11" spans="1:8" s="139" customFormat="1">
      <c r="A11" s="11"/>
      <c r="B11" s="13"/>
      <c r="C11" s="14">
        <f>1</f>
        <v>1</v>
      </c>
      <c r="D11" s="15"/>
      <c r="E11" s="8"/>
      <c r="F11" s="8"/>
      <c r="H11" s="140"/>
    </row>
    <row r="12" spans="1:8" s="139" customFormat="1">
      <c r="A12" s="11"/>
      <c r="B12" s="12" t="s">
        <v>4</v>
      </c>
      <c r="C12" s="14"/>
      <c r="D12" s="15">
        <f>C11</f>
        <v>1</v>
      </c>
      <c r="E12" s="214"/>
      <c r="F12" s="8">
        <f>D12*ROUND(E12,2)</f>
        <v>0</v>
      </c>
      <c r="H12" s="141"/>
    </row>
    <row r="13" spans="1:8" s="139" customFormat="1">
      <c r="A13" s="9"/>
      <c r="B13" s="97"/>
      <c r="C13" s="10"/>
      <c r="D13" s="10"/>
      <c r="E13" s="214"/>
      <c r="F13" s="8"/>
      <c r="H13" s="140"/>
    </row>
    <row r="14" spans="1:8" s="139" customFormat="1" ht="66">
      <c r="A14" s="11" t="s">
        <v>3</v>
      </c>
      <c r="B14" s="12" t="s">
        <v>14</v>
      </c>
      <c r="C14" s="10"/>
      <c r="D14" s="10"/>
      <c r="E14" s="214"/>
      <c r="F14" s="8"/>
      <c r="H14" s="140"/>
    </row>
    <row r="15" spans="1:8" s="139" customFormat="1">
      <c r="A15" s="9"/>
      <c r="B15" s="13" t="s">
        <v>15</v>
      </c>
      <c r="C15" s="14">
        <f>1*1</f>
        <v>1</v>
      </c>
      <c r="D15" s="15"/>
      <c r="E15" s="214"/>
      <c r="F15" s="8"/>
      <c r="H15" s="140"/>
    </row>
    <row r="16" spans="1:8" s="139" customFormat="1">
      <c r="A16" s="16"/>
      <c r="B16" s="17" t="s">
        <v>4</v>
      </c>
      <c r="C16" s="18"/>
      <c r="D16" s="51">
        <f>C15</f>
        <v>1</v>
      </c>
      <c r="E16" s="215"/>
      <c r="F16" s="142">
        <f>D16*ROUND(E16,2)</f>
        <v>0</v>
      </c>
      <c r="H16" s="140"/>
    </row>
    <row r="17" spans="1:8" s="139" customFormat="1">
      <c r="A17" s="9"/>
      <c r="B17" s="19" t="s">
        <v>74</v>
      </c>
      <c r="C17" s="14"/>
      <c r="D17" s="15"/>
      <c r="E17" s="214"/>
      <c r="F17" s="8">
        <f>SUM(F16,F12)</f>
        <v>0</v>
      </c>
      <c r="H17" s="140"/>
    </row>
    <row r="18" spans="1:8" s="139" customFormat="1">
      <c r="A18" s="9"/>
      <c r="B18" s="97"/>
      <c r="C18" s="10"/>
      <c r="D18" s="10"/>
      <c r="E18" s="214"/>
      <c r="F18" s="8"/>
      <c r="H18" s="140"/>
    </row>
    <row r="19" spans="1:8" s="139" customFormat="1">
      <c r="A19" s="244" t="s">
        <v>5</v>
      </c>
      <c r="B19" s="244"/>
      <c r="C19" s="244"/>
      <c r="D19" s="244"/>
      <c r="E19" s="214"/>
      <c r="F19" s="8"/>
      <c r="H19" s="140"/>
    </row>
    <row r="20" spans="1:8" s="139" customFormat="1">
      <c r="A20" s="96"/>
      <c r="B20" s="96"/>
      <c r="C20" s="96"/>
      <c r="D20" s="59"/>
      <c r="E20" s="214"/>
      <c r="F20" s="8"/>
      <c r="H20" s="140"/>
    </row>
    <row r="21" spans="1:8" s="139" customFormat="1" ht="26.4">
      <c r="A21" s="11" t="s">
        <v>6</v>
      </c>
      <c r="B21" s="12" t="s">
        <v>2</v>
      </c>
      <c r="C21" s="10"/>
      <c r="D21" s="10"/>
      <c r="E21" s="214"/>
      <c r="F21" s="8"/>
      <c r="H21" s="140"/>
    </row>
    <row r="22" spans="1:8" s="139" customFormat="1">
      <c r="A22" s="9"/>
      <c r="B22" s="13" t="s">
        <v>44</v>
      </c>
      <c r="C22" s="14">
        <f>4*100</f>
        <v>400</v>
      </c>
      <c r="D22" s="15"/>
      <c r="E22" s="214"/>
      <c r="F22" s="8"/>
      <c r="H22" s="140"/>
    </row>
    <row r="23" spans="1:8" s="139" customFormat="1">
      <c r="A23" s="9"/>
      <c r="B23" s="12" t="s">
        <v>19</v>
      </c>
      <c r="C23" s="14"/>
      <c r="D23" s="15">
        <f>C22</f>
        <v>400</v>
      </c>
      <c r="E23" s="214"/>
      <c r="F23" s="8">
        <f>D23*ROUND(E23,2)</f>
        <v>0</v>
      </c>
      <c r="H23" s="140"/>
    </row>
    <row r="24" spans="1:8" s="139" customFormat="1">
      <c r="A24" s="9"/>
      <c r="B24" s="20"/>
      <c r="C24" s="21"/>
      <c r="D24" s="22"/>
      <c r="E24" s="214"/>
      <c r="F24" s="8"/>
      <c r="H24" s="140"/>
    </row>
    <row r="25" spans="1:8" s="139" customFormat="1" ht="26.4">
      <c r="A25" s="11" t="s">
        <v>7</v>
      </c>
      <c r="B25" s="12" t="s">
        <v>45</v>
      </c>
      <c r="C25" s="10"/>
      <c r="D25" s="10"/>
      <c r="E25" s="214"/>
      <c r="F25" s="8"/>
      <c r="H25" s="140"/>
    </row>
    <row r="26" spans="1:8" s="139" customFormat="1">
      <c r="A26" s="9"/>
      <c r="B26" s="13" t="s">
        <v>46</v>
      </c>
      <c r="C26" s="14">
        <f>2*0.1*18*100</f>
        <v>360</v>
      </c>
      <c r="D26" s="15"/>
      <c r="E26" s="214"/>
      <c r="F26" s="8"/>
      <c r="H26" s="140"/>
    </row>
    <row r="27" spans="1:8" s="139" customFormat="1">
      <c r="A27" s="9"/>
      <c r="B27" s="12" t="s">
        <v>13</v>
      </c>
      <c r="C27" s="14"/>
      <c r="D27" s="15">
        <f>C26</f>
        <v>360</v>
      </c>
      <c r="E27" s="214"/>
      <c r="F27" s="8">
        <f>D27*ROUND(E27,2)</f>
        <v>0</v>
      </c>
      <c r="H27" s="141"/>
    </row>
    <row r="28" spans="1:8" s="139" customFormat="1">
      <c r="A28" s="9"/>
      <c r="B28" s="12"/>
      <c r="C28" s="14"/>
      <c r="D28" s="15"/>
      <c r="E28" s="214"/>
      <c r="F28" s="8"/>
      <c r="H28" s="140"/>
    </row>
    <row r="29" spans="1:8" s="139" customFormat="1" ht="26.4">
      <c r="A29" s="11" t="s">
        <v>8</v>
      </c>
      <c r="B29" s="12" t="s">
        <v>47</v>
      </c>
      <c r="C29" s="10"/>
      <c r="D29" s="10"/>
      <c r="E29" s="214"/>
      <c r="F29" s="8"/>
      <c r="H29" s="140"/>
    </row>
    <row r="30" spans="1:8" s="139" customFormat="1">
      <c r="A30" s="9"/>
      <c r="B30" s="13" t="s">
        <v>48</v>
      </c>
      <c r="C30" s="14">
        <f>2*0.28*18*100</f>
        <v>1008.0000000000002</v>
      </c>
      <c r="D30" s="15"/>
      <c r="E30" s="214"/>
      <c r="F30" s="8"/>
      <c r="H30" s="140"/>
    </row>
    <row r="31" spans="1:8" s="139" customFormat="1">
      <c r="A31" s="9"/>
      <c r="B31" s="12" t="s">
        <v>13</v>
      </c>
      <c r="C31" s="14"/>
      <c r="D31" s="15">
        <f>C30</f>
        <v>1008.0000000000002</v>
      </c>
      <c r="E31" s="214"/>
      <c r="F31" s="8">
        <f>D31*ROUND(E31,2)</f>
        <v>0</v>
      </c>
      <c r="H31" s="141"/>
    </row>
    <row r="32" spans="1:8" s="139" customFormat="1">
      <c r="A32" s="9"/>
      <c r="B32" s="12"/>
      <c r="C32" s="14"/>
      <c r="D32" s="15"/>
      <c r="E32" s="214"/>
      <c r="F32" s="8"/>
      <c r="H32" s="140"/>
    </row>
    <row r="33" spans="1:8" s="139" customFormat="1" ht="26.4">
      <c r="A33" s="11" t="s">
        <v>11</v>
      </c>
      <c r="B33" s="12" t="s">
        <v>12</v>
      </c>
      <c r="C33" s="10"/>
      <c r="D33" s="10"/>
      <c r="E33" s="214"/>
      <c r="F33" s="8"/>
      <c r="H33" s="140"/>
    </row>
    <row r="34" spans="1:8" s="139" customFormat="1">
      <c r="A34" s="9"/>
      <c r="B34" s="13" t="s">
        <v>67</v>
      </c>
      <c r="C34" s="14">
        <f>2*0.18*100</f>
        <v>36</v>
      </c>
      <c r="D34" s="15"/>
      <c r="E34" s="214"/>
      <c r="F34" s="8"/>
      <c r="H34" s="140"/>
    </row>
    <row r="35" spans="1:8" s="139" customFormat="1">
      <c r="A35" s="16"/>
      <c r="B35" s="17" t="s">
        <v>13</v>
      </c>
      <c r="C35" s="18"/>
      <c r="D35" s="51">
        <f>C34</f>
        <v>36</v>
      </c>
      <c r="E35" s="216"/>
      <c r="F35" s="142">
        <f>D35*ROUND(E35,2)</f>
        <v>0</v>
      </c>
      <c r="H35" s="141"/>
    </row>
    <row r="36" spans="1:8" s="139" customFormat="1">
      <c r="A36" s="9"/>
      <c r="B36" s="19" t="s">
        <v>73</v>
      </c>
      <c r="C36" s="14"/>
      <c r="D36" s="15"/>
      <c r="E36" s="217"/>
      <c r="F36" s="8">
        <f>SUM(F23,F27,F31,F35)</f>
        <v>0</v>
      </c>
      <c r="H36" s="141"/>
    </row>
    <row r="37" spans="1:8" s="139" customFormat="1">
      <c r="A37" s="9"/>
      <c r="B37" s="12"/>
      <c r="C37" s="14"/>
      <c r="D37" s="15"/>
      <c r="E37" s="214"/>
      <c r="F37" s="8"/>
      <c r="H37" s="140"/>
    </row>
    <row r="38" spans="1:8" s="139" customFormat="1">
      <c r="A38" s="244" t="s">
        <v>17</v>
      </c>
      <c r="B38" s="244"/>
      <c r="C38" s="244"/>
      <c r="D38" s="244"/>
      <c r="E38" s="214"/>
      <c r="F38" s="8"/>
      <c r="H38" s="140"/>
    </row>
    <row r="39" spans="1:8" s="139" customFormat="1">
      <c r="A39" s="96"/>
      <c r="B39" s="96"/>
      <c r="C39" s="96"/>
      <c r="D39" s="59"/>
      <c r="E39" s="214"/>
      <c r="F39" s="8"/>
      <c r="H39" s="140"/>
    </row>
    <row r="40" spans="1:8" s="139" customFormat="1" ht="26.4">
      <c r="A40" s="11" t="s">
        <v>18</v>
      </c>
      <c r="B40" s="25" t="s">
        <v>59</v>
      </c>
      <c r="C40" s="10"/>
      <c r="D40" s="10"/>
      <c r="E40" s="214"/>
      <c r="F40" s="8"/>
      <c r="H40" s="140"/>
    </row>
    <row r="41" spans="1:8" s="139" customFormat="1">
      <c r="A41" s="9"/>
      <c r="B41" s="13" t="s">
        <v>60</v>
      </c>
      <c r="C41" s="14">
        <f>2 * 240 * 0.4 + 2 * 0.36 * 200</f>
        <v>336</v>
      </c>
      <c r="D41" s="15"/>
      <c r="E41" s="214"/>
      <c r="F41" s="8"/>
      <c r="H41" s="140"/>
    </row>
    <row r="42" spans="1:8" s="139" customFormat="1">
      <c r="A42" s="9"/>
      <c r="B42" s="12" t="s">
        <v>9</v>
      </c>
      <c r="C42" s="14"/>
      <c r="D42" s="15">
        <f>C41</f>
        <v>336</v>
      </c>
      <c r="E42" s="214"/>
      <c r="F42" s="8">
        <f>D42*ROUND(E42,2)</f>
        <v>0</v>
      </c>
      <c r="H42" s="140"/>
    </row>
    <row r="43" spans="1:8" s="139" customFormat="1">
      <c r="A43" s="9"/>
      <c r="B43" s="12"/>
      <c r="C43" s="14"/>
      <c r="D43" s="15"/>
      <c r="E43" s="214"/>
      <c r="F43" s="8"/>
      <c r="H43" s="140"/>
    </row>
    <row r="44" spans="1:8" s="139" customFormat="1" ht="39.6">
      <c r="A44" s="11" t="s">
        <v>62</v>
      </c>
      <c r="B44" s="26" t="s">
        <v>125</v>
      </c>
      <c r="C44" s="14"/>
      <c r="D44" s="15"/>
      <c r="E44" s="214"/>
      <c r="F44" s="8"/>
      <c r="H44" s="140"/>
    </row>
    <row r="45" spans="1:8" s="139" customFormat="1">
      <c r="A45" s="9"/>
      <c r="B45" s="27" t="s">
        <v>65</v>
      </c>
      <c r="C45" s="28">
        <f>2 * 200</f>
        <v>400</v>
      </c>
      <c r="D45" s="15"/>
      <c r="E45" s="214"/>
      <c r="F45" s="8"/>
      <c r="H45" s="140"/>
    </row>
    <row r="46" spans="1:8" s="139" customFormat="1">
      <c r="A46" s="29"/>
      <c r="B46" s="17" t="s">
        <v>63</v>
      </c>
      <c r="C46" s="18"/>
      <c r="D46" s="51">
        <f>C45</f>
        <v>400</v>
      </c>
      <c r="E46" s="215"/>
      <c r="F46" s="142">
        <f>D46*ROUND(E46,2)</f>
        <v>0</v>
      </c>
      <c r="H46" s="140"/>
    </row>
    <row r="47" spans="1:8" s="139" customFormat="1">
      <c r="A47" s="9"/>
      <c r="B47" s="19" t="s">
        <v>72</v>
      </c>
      <c r="C47" s="14"/>
      <c r="D47" s="15"/>
      <c r="E47" s="214"/>
      <c r="F47" s="8">
        <f>SUM(F42,F46)</f>
        <v>0</v>
      </c>
      <c r="H47" s="140"/>
    </row>
    <row r="48" spans="1:8" s="139" customFormat="1">
      <c r="A48" s="9"/>
      <c r="B48" s="12"/>
      <c r="C48" s="14"/>
      <c r="D48" s="15"/>
      <c r="E48" s="214"/>
      <c r="F48" s="8"/>
      <c r="H48" s="140"/>
    </row>
    <row r="49" spans="1:8" s="139" customFormat="1">
      <c r="A49" s="9"/>
      <c r="B49" s="12"/>
      <c r="C49" s="14"/>
      <c r="D49" s="15"/>
      <c r="E49" s="214"/>
      <c r="F49" s="8"/>
      <c r="H49" s="140"/>
    </row>
    <row r="50" spans="1:8" s="139" customFormat="1">
      <c r="A50" s="244" t="s">
        <v>20</v>
      </c>
      <c r="B50" s="244"/>
      <c r="C50" s="244"/>
      <c r="D50" s="244"/>
      <c r="E50" s="214"/>
      <c r="F50" s="8"/>
      <c r="H50" s="140"/>
    </row>
    <row r="51" spans="1:8" s="139" customFormat="1">
      <c r="A51" s="96"/>
      <c r="B51" s="96"/>
      <c r="C51" s="96"/>
      <c r="D51" s="59"/>
      <c r="E51" s="214"/>
      <c r="F51" s="8"/>
      <c r="H51" s="140"/>
    </row>
    <row r="52" spans="1:8" s="139" customFormat="1" ht="52.8">
      <c r="A52" s="11" t="s">
        <v>21</v>
      </c>
      <c r="B52" s="30" t="s">
        <v>55</v>
      </c>
      <c r="C52" s="96"/>
      <c r="D52" s="59"/>
      <c r="E52" s="214"/>
      <c r="F52" s="8"/>
      <c r="H52" s="140"/>
    </row>
    <row r="53" spans="1:8" s="139" customFormat="1" ht="18" customHeight="1">
      <c r="A53" s="9"/>
      <c r="B53" s="13" t="s">
        <v>56</v>
      </c>
      <c r="C53" s="13">
        <f>2*20*100</f>
        <v>4000</v>
      </c>
      <c r="D53" s="15"/>
      <c r="E53" s="214"/>
      <c r="F53" s="8"/>
      <c r="H53" s="140"/>
    </row>
    <row r="54" spans="1:8" s="139" customFormat="1">
      <c r="A54" s="9"/>
      <c r="B54" s="12" t="s">
        <v>9</v>
      </c>
      <c r="C54" s="14"/>
      <c r="D54" s="15">
        <f>C53</f>
        <v>4000</v>
      </c>
      <c r="E54" s="217"/>
      <c r="F54" s="8">
        <f>D54*ROUND(E54,2)</f>
        <v>0</v>
      </c>
      <c r="H54" s="140"/>
    </row>
    <row r="55" spans="1:8" s="139" customFormat="1">
      <c r="A55" s="11"/>
      <c r="B55" s="25"/>
      <c r="C55" s="96"/>
      <c r="D55" s="59"/>
      <c r="E55" s="214"/>
      <c r="F55" s="8"/>
      <c r="H55" s="140"/>
    </row>
    <row r="56" spans="1:8" s="139" customFormat="1" ht="66">
      <c r="A56" s="11" t="s">
        <v>22</v>
      </c>
      <c r="B56" s="25" t="s">
        <v>111</v>
      </c>
      <c r="C56" s="96"/>
      <c r="D56" s="59"/>
      <c r="E56" s="214"/>
      <c r="F56" s="8"/>
      <c r="H56" s="140"/>
    </row>
    <row r="57" spans="1:8" s="139" customFormat="1">
      <c r="A57" s="96"/>
      <c r="B57" s="13" t="s">
        <v>120</v>
      </c>
      <c r="C57" s="14">
        <f>2*0.08*20*100</f>
        <v>320</v>
      </c>
      <c r="D57" s="15"/>
      <c r="E57" s="214"/>
      <c r="F57" s="8"/>
      <c r="H57" s="140"/>
    </row>
    <row r="58" spans="1:8">
      <c r="A58" s="9"/>
      <c r="B58" s="12" t="s">
        <v>13</v>
      </c>
      <c r="C58" s="14"/>
      <c r="D58" s="15">
        <f>C57</f>
        <v>320</v>
      </c>
      <c r="E58" s="214"/>
      <c r="F58" s="8">
        <f>D58*ROUND(E58,2)</f>
        <v>0</v>
      </c>
      <c r="H58" s="144"/>
    </row>
    <row r="59" spans="1:8">
      <c r="A59" s="9"/>
      <c r="B59" s="12"/>
      <c r="C59" s="14"/>
      <c r="D59" s="15"/>
      <c r="E59" s="218"/>
    </row>
    <row r="60" spans="1:8" ht="52.8">
      <c r="A60" s="11" t="s">
        <v>23</v>
      </c>
      <c r="B60" s="25" t="s">
        <v>112</v>
      </c>
      <c r="C60" s="96"/>
      <c r="D60" s="59"/>
      <c r="E60" s="218"/>
    </row>
    <row r="61" spans="1:8">
      <c r="A61" s="96"/>
      <c r="B61" s="13" t="s">
        <v>121</v>
      </c>
      <c r="C61" s="14">
        <f>2*0.3*20*100</f>
        <v>1200</v>
      </c>
      <c r="D61" s="15"/>
      <c r="E61" s="218"/>
    </row>
    <row r="62" spans="1:8">
      <c r="A62" s="9"/>
      <c r="B62" s="12" t="s">
        <v>13</v>
      </c>
      <c r="C62" s="14"/>
      <c r="D62" s="15">
        <f>C61</f>
        <v>1200</v>
      </c>
      <c r="E62" s="214"/>
      <c r="F62" s="8">
        <f>D62*ROUND(E62,2)</f>
        <v>0</v>
      </c>
      <c r="H62" s="144"/>
    </row>
    <row r="63" spans="1:8">
      <c r="A63" s="9"/>
      <c r="B63" s="12"/>
      <c r="C63" s="14"/>
      <c r="D63" s="15"/>
      <c r="E63" s="218"/>
    </row>
    <row r="64" spans="1:8" ht="39.6">
      <c r="A64" s="11" t="s">
        <v>24</v>
      </c>
      <c r="B64" s="25" t="s">
        <v>26</v>
      </c>
      <c r="C64" s="32"/>
      <c r="D64" s="15"/>
      <c r="E64" s="218"/>
    </row>
    <row r="65" spans="1:6">
      <c r="A65" s="9"/>
      <c r="B65" s="13"/>
      <c r="C65" s="14">
        <v>14400</v>
      </c>
      <c r="D65" s="15"/>
      <c r="E65" s="218"/>
    </row>
    <row r="66" spans="1:6">
      <c r="A66" s="9"/>
      <c r="B66" s="12" t="s">
        <v>25</v>
      </c>
      <c r="C66" s="14"/>
      <c r="D66" s="15">
        <v>14400</v>
      </c>
      <c r="E66" s="214"/>
      <c r="F66" s="8">
        <f>D66*ROUND(E66,2)</f>
        <v>0</v>
      </c>
    </row>
    <row r="67" spans="1:6">
      <c r="A67" s="9"/>
      <c r="B67" s="12"/>
      <c r="C67" s="14"/>
      <c r="D67" s="15"/>
      <c r="E67" s="218"/>
    </row>
    <row r="68" spans="1:6" ht="39.6">
      <c r="A68" s="11" t="s">
        <v>27</v>
      </c>
      <c r="B68" s="25" t="s">
        <v>28</v>
      </c>
      <c r="C68" s="32"/>
      <c r="D68" s="15"/>
      <c r="E68" s="218"/>
    </row>
    <row r="69" spans="1:6">
      <c r="A69" s="9"/>
      <c r="B69" s="13"/>
      <c r="C69" s="14">
        <v>26400</v>
      </c>
      <c r="D69" s="15"/>
      <c r="E69" s="218"/>
    </row>
    <row r="70" spans="1:6">
      <c r="A70" s="9"/>
      <c r="B70" s="12" t="s">
        <v>25</v>
      </c>
      <c r="C70" s="14"/>
      <c r="D70" s="15">
        <v>26400</v>
      </c>
      <c r="E70" s="214"/>
      <c r="F70" s="8">
        <f>D70*ROUND(E70,2)</f>
        <v>0</v>
      </c>
    </row>
    <row r="71" spans="1:6">
      <c r="A71" s="9"/>
      <c r="B71" s="12"/>
      <c r="C71" s="14"/>
      <c r="D71" s="15"/>
      <c r="E71" s="218"/>
      <c r="F71" s="8"/>
    </row>
    <row r="72" spans="1:6" ht="52.8">
      <c r="A72" s="11" t="s">
        <v>30</v>
      </c>
      <c r="B72" s="25" t="s">
        <v>51</v>
      </c>
      <c r="C72" s="32"/>
      <c r="D72" s="15"/>
      <c r="E72" s="218"/>
    </row>
    <row r="73" spans="1:6">
      <c r="A73" s="9"/>
      <c r="B73" s="13" t="s">
        <v>57</v>
      </c>
      <c r="C73" s="14">
        <v>2110</v>
      </c>
      <c r="D73" s="15"/>
      <c r="E73" s="218"/>
    </row>
    <row r="74" spans="1:6">
      <c r="A74" s="9"/>
      <c r="B74" s="13" t="s">
        <v>58</v>
      </c>
      <c r="C74" s="14">
        <v>53.26</v>
      </c>
      <c r="D74" s="15"/>
      <c r="E74" s="218"/>
    </row>
    <row r="75" spans="1:6">
      <c r="A75" s="9"/>
      <c r="B75" s="12" t="s">
        <v>25</v>
      </c>
      <c r="C75" s="14"/>
      <c r="D75" s="15">
        <f>SUM(C73:C74)</f>
        <v>2163.2600000000002</v>
      </c>
      <c r="E75" s="217"/>
      <c r="F75" s="8">
        <f>D75*ROUND(E75,2)</f>
        <v>0</v>
      </c>
    </row>
    <row r="76" spans="1:6">
      <c r="A76" s="9"/>
      <c r="B76" s="12"/>
      <c r="C76" s="14"/>
      <c r="D76" s="15"/>
      <c r="E76" s="218"/>
    </row>
    <row r="77" spans="1:6" ht="39.6">
      <c r="A77" s="11" t="s">
        <v>31</v>
      </c>
      <c r="B77" s="25" t="s">
        <v>29</v>
      </c>
      <c r="C77" s="32"/>
      <c r="D77" s="15"/>
      <c r="E77" s="218"/>
    </row>
    <row r="78" spans="1:6">
      <c r="A78" s="9"/>
      <c r="B78" s="13"/>
      <c r="C78" s="14">
        <f>2*27600</f>
        <v>55200</v>
      </c>
      <c r="D78" s="15"/>
      <c r="E78" s="218"/>
    </row>
    <row r="79" spans="1:6">
      <c r="A79" s="9"/>
      <c r="B79" s="12" t="s">
        <v>25</v>
      </c>
      <c r="C79" s="14"/>
      <c r="D79" s="15">
        <f>C78</f>
        <v>55200</v>
      </c>
      <c r="E79" s="214"/>
      <c r="F79" s="8">
        <f>D79*ROUND(E79,2)</f>
        <v>0</v>
      </c>
    </row>
    <row r="80" spans="1:6">
      <c r="A80" s="9"/>
      <c r="B80" s="12"/>
      <c r="C80" s="14"/>
      <c r="D80" s="15"/>
      <c r="E80" s="218"/>
    </row>
    <row r="81" spans="1:8" ht="92.4">
      <c r="A81" s="11" t="s">
        <v>32</v>
      </c>
      <c r="B81" s="12" t="s">
        <v>123</v>
      </c>
      <c r="C81" s="14"/>
      <c r="D81" s="15"/>
      <c r="E81" s="218"/>
    </row>
    <row r="82" spans="1:8">
      <c r="A82" s="9"/>
      <c r="B82" s="13" t="s">
        <v>53</v>
      </c>
      <c r="C82" s="14">
        <v>3024</v>
      </c>
      <c r="D82" s="15"/>
      <c r="E82" s="218"/>
    </row>
    <row r="83" spans="1:8">
      <c r="A83" s="9"/>
      <c r="B83" s="12" t="s">
        <v>4</v>
      </c>
      <c r="C83" s="14"/>
      <c r="D83" s="15">
        <f>C82</f>
        <v>3024</v>
      </c>
      <c r="E83" s="217"/>
      <c r="F83" s="8">
        <f>D83*ROUND(E83,2)</f>
        <v>0</v>
      </c>
    </row>
    <row r="84" spans="1:8">
      <c r="A84" s="9"/>
      <c r="B84" s="12"/>
      <c r="C84" s="14"/>
      <c r="D84" s="15"/>
      <c r="E84" s="218"/>
    </row>
    <row r="85" spans="1:8" ht="92.4">
      <c r="A85" s="11" t="s">
        <v>42</v>
      </c>
      <c r="B85" s="12" t="s">
        <v>124</v>
      </c>
      <c r="C85" s="14"/>
      <c r="D85" s="15"/>
      <c r="E85" s="218"/>
    </row>
    <row r="86" spans="1:8">
      <c r="A86" s="9"/>
      <c r="B86" s="13" t="s">
        <v>54</v>
      </c>
      <c r="C86" s="14">
        <v>748</v>
      </c>
      <c r="D86" s="15"/>
      <c r="E86" s="218"/>
    </row>
    <row r="87" spans="1:8">
      <c r="A87" s="9"/>
      <c r="B87" s="12" t="s">
        <v>4</v>
      </c>
      <c r="C87" s="14"/>
      <c r="D87" s="15">
        <f>C86</f>
        <v>748</v>
      </c>
      <c r="E87" s="217"/>
      <c r="F87" s="8">
        <f>D87*ROUND(E87,2)</f>
        <v>0</v>
      </c>
    </row>
    <row r="88" spans="1:8">
      <c r="A88" s="9"/>
      <c r="B88" s="12"/>
      <c r="C88" s="14"/>
      <c r="D88" s="15"/>
      <c r="E88" s="218"/>
    </row>
    <row r="89" spans="1:8" s="146" customFormat="1" ht="89.25" customHeight="1">
      <c r="A89" s="33" t="s">
        <v>52</v>
      </c>
      <c r="B89" s="34" t="s">
        <v>118</v>
      </c>
      <c r="C89" s="14"/>
      <c r="D89" s="15"/>
      <c r="E89" s="219"/>
      <c r="F89" s="35"/>
      <c r="G89" s="143"/>
      <c r="H89" s="145"/>
    </row>
    <row r="90" spans="1:8">
      <c r="A90" s="9"/>
      <c r="B90" s="13" t="s">
        <v>68</v>
      </c>
      <c r="C90" s="14">
        <f>2*100</f>
        <v>200</v>
      </c>
      <c r="D90" s="15"/>
      <c r="E90" s="218"/>
    </row>
    <row r="91" spans="1:8">
      <c r="A91" s="9"/>
      <c r="B91" s="12" t="s">
        <v>19</v>
      </c>
      <c r="C91" s="14"/>
      <c r="D91" s="15">
        <f>C90</f>
        <v>200</v>
      </c>
      <c r="E91" s="217"/>
      <c r="F91" s="8">
        <f>D91*ROUND(E91,2)</f>
        <v>0</v>
      </c>
    </row>
    <row r="92" spans="1:8">
      <c r="A92" s="9"/>
      <c r="B92" s="12"/>
      <c r="C92" s="14"/>
      <c r="D92" s="15"/>
      <c r="E92" s="217"/>
      <c r="F92" s="8"/>
    </row>
    <row r="93" spans="1:8">
      <c r="A93" s="9" t="s">
        <v>115</v>
      </c>
      <c r="B93" s="12"/>
      <c r="C93" s="14"/>
      <c r="D93" s="15"/>
      <c r="E93" s="217"/>
      <c r="F93" s="8"/>
    </row>
    <row r="94" spans="1:8" ht="52.8">
      <c r="A94" s="11"/>
      <c r="B94" s="36" t="s">
        <v>117</v>
      </c>
      <c r="C94" s="12"/>
      <c r="D94" s="37"/>
      <c r="E94" s="220"/>
    </row>
    <row r="95" spans="1:8">
      <c r="A95" s="9"/>
      <c r="B95" s="13" t="s">
        <v>116</v>
      </c>
      <c r="C95" s="14">
        <f>2*20</f>
        <v>40</v>
      </c>
      <c r="D95" s="15"/>
      <c r="E95" s="217"/>
      <c r="F95" s="8"/>
    </row>
    <row r="96" spans="1:8">
      <c r="A96" s="16"/>
      <c r="B96" s="17" t="s">
        <v>19</v>
      </c>
      <c r="C96" s="18"/>
      <c r="D96" s="51">
        <f>C95</f>
        <v>40</v>
      </c>
      <c r="E96" s="216"/>
      <c r="F96" s="142">
        <f>D96*ROUND(E96,2)</f>
        <v>0</v>
      </c>
    </row>
    <row r="97" spans="1:8">
      <c r="A97" s="33"/>
      <c r="B97" s="19" t="s">
        <v>71</v>
      </c>
      <c r="C97" s="14"/>
      <c r="D97" s="15"/>
      <c r="E97" s="217"/>
      <c r="F97" s="8">
        <f>SUM(F54,F58,F62,F66,F70,F75,F79,F83,F87,F91,F96)</f>
        <v>0</v>
      </c>
    </row>
    <row r="98" spans="1:8">
      <c r="A98" s="9"/>
      <c r="B98" s="12"/>
      <c r="C98" s="14"/>
      <c r="D98" s="15"/>
      <c r="E98" s="218"/>
    </row>
    <row r="99" spans="1:8">
      <c r="A99" s="244" t="s">
        <v>33</v>
      </c>
      <c r="B99" s="244"/>
      <c r="C99" s="244"/>
      <c r="D99" s="244"/>
      <c r="E99" s="218"/>
    </row>
    <row r="100" spans="1:8">
      <c r="A100" s="96"/>
      <c r="B100" s="96"/>
      <c r="C100" s="96"/>
      <c r="D100" s="59"/>
      <c r="E100" s="218"/>
    </row>
    <row r="101" spans="1:8" ht="39.6">
      <c r="A101" s="11" t="s">
        <v>34</v>
      </c>
      <c r="B101" s="39" t="s">
        <v>41</v>
      </c>
      <c r="C101" s="12"/>
      <c r="D101" s="37"/>
      <c r="E101" s="220"/>
    </row>
    <row r="102" spans="1:8">
      <c r="A102" s="9"/>
      <c r="B102" s="13" t="s">
        <v>49</v>
      </c>
      <c r="C102" s="14">
        <f>2*(1*91 + 11*4.3)</f>
        <v>276.60000000000002</v>
      </c>
      <c r="D102" s="15"/>
      <c r="E102" s="220"/>
    </row>
    <row r="103" spans="1:8">
      <c r="A103" s="9"/>
      <c r="B103" s="12" t="s">
        <v>19</v>
      </c>
      <c r="C103" s="14"/>
      <c r="D103" s="15">
        <f>C102</f>
        <v>276.60000000000002</v>
      </c>
      <c r="E103" s="221"/>
      <c r="F103" s="8">
        <f>D103*ROUND(E103,2)</f>
        <v>0</v>
      </c>
    </row>
    <row r="104" spans="1:8">
      <c r="A104" s="9"/>
      <c r="B104" s="12"/>
      <c r="C104" s="14"/>
      <c r="D104" s="15"/>
      <c r="E104" s="222"/>
    </row>
    <row r="105" spans="1:8" ht="76.5" customHeight="1">
      <c r="A105" s="11" t="s">
        <v>35</v>
      </c>
      <c r="B105" s="39" t="s">
        <v>193</v>
      </c>
      <c r="C105" s="12"/>
      <c r="D105" s="37"/>
      <c r="E105" s="222"/>
    </row>
    <row r="106" spans="1:8">
      <c r="A106" s="9"/>
      <c r="B106" s="13" t="s">
        <v>50</v>
      </c>
      <c r="C106" s="14">
        <f>2*2</f>
        <v>4</v>
      </c>
      <c r="D106" s="15"/>
      <c r="E106" s="222"/>
    </row>
    <row r="107" spans="1:8">
      <c r="A107" s="9"/>
      <c r="B107" s="12" t="s">
        <v>4</v>
      </c>
      <c r="C107" s="14"/>
      <c r="D107" s="15">
        <f>C106</f>
        <v>4</v>
      </c>
      <c r="E107" s="221"/>
      <c r="F107" s="8">
        <f>D107*ROUND(E107,2)</f>
        <v>0</v>
      </c>
      <c r="H107" s="144"/>
    </row>
    <row r="108" spans="1:8">
      <c r="A108" s="9"/>
      <c r="B108" s="12"/>
      <c r="C108" s="14"/>
      <c r="D108" s="15"/>
      <c r="E108" s="221"/>
    </row>
    <row r="109" spans="1:8" ht="76.5" customHeight="1">
      <c r="A109" s="11" t="s">
        <v>36</v>
      </c>
      <c r="B109" s="83" t="s">
        <v>194</v>
      </c>
      <c r="C109" s="12"/>
      <c r="D109" s="37"/>
      <c r="E109" s="221"/>
    </row>
    <row r="110" spans="1:8">
      <c r="A110" s="9"/>
      <c r="B110" s="84" t="s">
        <v>150</v>
      </c>
      <c r="C110" s="85">
        <f>1*11</f>
        <v>11</v>
      </c>
      <c r="D110" s="15"/>
      <c r="E110" s="221"/>
    </row>
    <row r="111" spans="1:8">
      <c r="A111" s="9"/>
      <c r="B111" s="12" t="s">
        <v>4</v>
      </c>
      <c r="C111" s="14"/>
      <c r="D111" s="86">
        <f>C110</f>
        <v>11</v>
      </c>
      <c r="E111" s="221"/>
      <c r="F111" s="8">
        <f>D111*ROUND(E111,2)</f>
        <v>0</v>
      </c>
      <c r="H111" s="144"/>
    </row>
    <row r="112" spans="1:8">
      <c r="A112" s="9"/>
      <c r="B112" s="12"/>
      <c r="C112" s="14"/>
      <c r="D112" s="15"/>
      <c r="E112" s="221"/>
    </row>
    <row r="113" spans="1:8" ht="52.8">
      <c r="A113" s="11" t="s">
        <v>37</v>
      </c>
      <c r="B113" s="83" t="s">
        <v>195</v>
      </c>
      <c r="C113" s="39"/>
      <c r="D113" s="60"/>
      <c r="E113" s="223"/>
    </row>
    <row r="114" spans="1:8">
      <c r="A114" s="9"/>
      <c r="B114" s="84" t="s">
        <v>150</v>
      </c>
      <c r="C114" s="85">
        <f>1*11</f>
        <v>11</v>
      </c>
      <c r="D114" s="15"/>
      <c r="E114" s="223"/>
    </row>
    <row r="115" spans="1:8">
      <c r="A115" s="9"/>
      <c r="B115" s="12" t="s">
        <v>4</v>
      </c>
      <c r="C115" s="14"/>
      <c r="D115" s="86">
        <f>C114</f>
        <v>11</v>
      </c>
      <c r="E115" s="221"/>
      <c r="F115" s="8">
        <f>D115*ROUND(E115,2)</f>
        <v>0</v>
      </c>
    </row>
    <row r="116" spans="1:8">
      <c r="A116" s="9"/>
      <c r="B116" s="12"/>
      <c r="C116" s="14"/>
      <c r="D116" s="15"/>
      <c r="E116" s="221"/>
      <c r="F116" s="8"/>
    </row>
    <row r="117" spans="1:8" ht="39.6">
      <c r="A117" s="11" t="s">
        <v>61</v>
      </c>
      <c r="B117" s="12" t="s">
        <v>196</v>
      </c>
      <c r="C117" s="14"/>
      <c r="D117" s="15"/>
      <c r="E117" s="221"/>
      <c r="F117" s="8"/>
    </row>
    <row r="118" spans="1:8">
      <c r="A118" s="9"/>
      <c r="B118" s="12"/>
      <c r="C118" s="14">
        <v>2</v>
      </c>
      <c r="D118" s="15"/>
      <c r="E118" s="221"/>
      <c r="F118" s="8"/>
    </row>
    <row r="119" spans="1:8">
      <c r="A119" s="87"/>
      <c r="B119" s="25" t="s">
        <v>4</v>
      </c>
      <c r="C119" s="48"/>
      <c r="D119" s="49">
        <f>C118</f>
        <v>2</v>
      </c>
      <c r="E119" s="224"/>
      <c r="F119" s="8">
        <f>D119*ROUND(E119,2)</f>
        <v>0</v>
      </c>
    </row>
    <row r="120" spans="1:8">
      <c r="A120" s="87"/>
      <c r="B120" s="25"/>
      <c r="C120" s="48"/>
      <c r="D120" s="49"/>
      <c r="E120" s="224"/>
      <c r="F120" s="147"/>
      <c r="G120" s="148"/>
    </row>
    <row r="121" spans="1:8" ht="66">
      <c r="A121" s="88" t="s">
        <v>191</v>
      </c>
      <c r="B121" s="149" t="s">
        <v>197</v>
      </c>
      <c r="C121" s="89"/>
      <c r="D121" s="90"/>
      <c r="E121" s="221"/>
      <c r="F121" s="35"/>
    </row>
    <row r="122" spans="1:8">
      <c r="A122" s="91"/>
      <c r="B122" s="84" t="s">
        <v>150</v>
      </c>
      <c r="C122" s="85">
        <f>1*11</f>
        <v>11</v>
      </c>
      <c r="D122" s="86"/>
      <c r="E122" s="221"/>
      <c r="F122" s="35"/>
    </row>
    <row r="123" spans="1:8">
      <c r="A123" s="92"/>
      <c r="B123" s="93" t="s">
        <v>4</v>
      </c>
      <c r="C123" s="94"/>
      <c r="D123" s="95">
        <f>C122</f>
        <v>11</v>
      </c>
      <c r="E123" s="225"/>
      <c r="F123" s="142">
        <f>D123*ROUND(E123,2)</f>
        <v>0</v>
      </c>
    </row>
    <row r="124" spans="1:8">
      <c r="A124" s="9"/>
      <c r="B124" s="19" t="s">
        <v>70</v>
      </c>
      <c r="C124" s="14"/>
      <c r="D124" s="15"/>
      <c r="E124" s="221"/>
      <c r="F124" s="8">
        <f>SUM(F103,F107,F111,F115,F119,F123)</f>
        <v>0</v>
      </c>
    </row>
    <row r="125" spans="1:8">
      <c r="A125" s="9"/>
      <c r="B125" s="12"/>
      <c r="C125" s="14"/>
      <c r="D125" s="15"/>
      <c r="E125" s="221"/>
    </row>
    <row r="126" spans="1:8">
      <c r="A126" s="244" t="s">
        <v>38</v>
      </c>
      <c r="B126" s="244"/>
      <c r="C126" s="244"/>
      <c r="D126" s="244"/>
      <c r="E126" s="221"/>
    </row>
    <row r="127" spans="1:8">
      <c r="A127" s="96"/>
      <c r="B127" s="96"/>
      <c r="C127" s="96"/>
      <c r="D127" s="59"/>
      <c r="E127" s="221"/>
    </row>
    <row r="128" spans="1:8" s="146" customFormat="1" ht="79.2">
      <c r="A128" s="33" t="s">
        <v>39</v>
      </c>
      <c r="B128" s="39" t="s">
        <v>122</v>
      </c>
      <c r="C128" s="14"/>
      <c r="D128" s="15"/>
      <c r="E128" s="221"/>
      <c r="F128" s="35"/>
      <c r="G128" s="143"/>
      <c r="H128" s="145"/>
    </row>
    <row r="129" spans="1:8" s="150" customFormat="1">
      <c r="A129" s="40"/>
      <c r="B129" s="13" t="s">
        <v>80</v>
      </c>
      <c r="C129" s="14">
        <f>2*100+3</f>
        <v>203</v>
      </c>
      <c r="D129" s="15"/>
      <c r="E129" s="221"/>
      <c r="F129" s="35"/>
      <c r="H129" s="151"/>
    </row>
    <row r="130" spans="1:8" s="150" customFormat="1">
      <c r="A130" s="40"/>
      <c r="B130" s="12" t="s">
        <v>19</v>
      </c>
      <c r="C130" s="14"/>
      <c r="D130" s="15">
        <f>C129</f>
        <v>203</v>
      </c>
      <c r="E130" s="221"/>
      <c r="F130" s="8">
        <f>D130*ROUND(E130,2)</f>
        <v>0</v>
      </c>
      <c r="H130" s="151"/>
    </row>
    <row r="131" spans="1:8" s="150" customFormat="1">
      <c r="A131" s="40"/>
      <c r="B131" s="12"/>
      <c r="C131" s="14"/>
      <c r="D131" s="15"/>
      <c r="E131" s="221"/>
      <c r="F131" s="35"/>
      <c r="H131" s="151"/>
    </row>
    <row r="132" spans="1:8" s="150" customFormat="1" ht="26.4">
      <c r="A132" s="33" t="s">
        <v>40</v>
      </c>
      <c r="B132" s="39" t="s">
        <v>64</v>
      </c>
      <c r="C132" s="14"/>
      <c r="D132" s="15"/>
      <c r="E132" s="221"/>
      <c r="F132" s="35"/>
      <c r="H132" s="151"/>
    </row>
    <row r="133" spans="1:8" s="150" customFormat="1">
      <c r="A133" s="40"/>
      <c r="B133" s="13" t="s">
        <v>50</v>
      </c>
      <c r="C133" s="14">
        <f>2*2</f>
        <v>4</v>
      </c>
      <c r="D133" s="15"/>
      <c r="E133" s="221"/>
      <c r="F133" s="35"/>
      <c r="H133" s="151"/>
    </row>
    <row r="134" spans="1:8" s="150" customFormat="1">
      <c r="A134" s="40"/>
      <c r="B134" s="12" t="s">
        <v>4</v>
      </c>
      <c r="C134" s="14"/>
      <c r="D134" s="15">
        <f>C133</f>
        <v>4</v>
      </c>
      <c r="E134" s="221"/>
      <c r="F134" s="8">
        <f>D134*ROUND(E134,2)</f>
        <v>0</v>
      </c>
      <c r="H134" s="151"/>
    </row>
    <row r="135" spans="1:8" s="150" customFormat="1">
      <c r="A135" s="40"/>
      <c r="B135" s="12"/>
      <c r="C135" s="14"/>
      <c r="D135" s="15"/>
      <c r="E135" s="221"/>
      <c r="F135" s="24"/>
      <c r="H135" s="151"/>
    </row>
    <row r="136" spans="1:8" s="146" customFormat="1" ht="79.2">
      <c r="A136" s="33" t="s">
        <v>77</v>
      </c>
      <c r="B136" s="83" t="s">
        <v>190</v>
      </c>
      <c r="C136" s="14"/>
      <c r="D136" s="15"/>
      <c r="E136" s="221"/>
      <c r="F136" s="35"/>
      <c r="G136" s="143"/>
      <c r="H136" s="145"/>
    </row>
    <row r="137" spans="1:8" s="150" customFormat="1">
      <c r="A137" s="40"/>
      <c r="B137" s="13" t="s">
        <v>78</v>
      </c>
      <c r="C137" s="14">
        <f>1*4</f>
        <v>4</v>
      </c>
      <c r="D137" s="15"/>
      <c r="E137" s="221"/>
      <c r="F137" s="35"/>
      <c r="H137" s="151"/>
    </row>
    <row r="138" spans="1:8" s="150" customFormat="1">
      <c r="A138" s="40"/>
      <c r="B138" s="12" t="s">
        <v>4</v>
      </c>
      <c r="C138" s="14"/>
      <c r="D138" s="15">
        <f>C137</f>
        <v>4</v>
      </c>
      <c r="E138" s="221"/>
      <c r="F138" s="8">
        <f>D138*ROUND(E138,2)</f>
        <v>0</v>
      </c>
      <c r="H138" s="151"/>
    </row>
    <row r="139" spans="1:8" s="150" customFormat="1">
      <c r="A139" s="40"/>
      <c r="B139" s="12"/>
      <c r="C139" s="14"/>
      <c r="D139" s="15"/>
      <c r="E139" s="221"/>
      <c r="F139" s="24"/>
      <c r="H139" s="151"/>
    </row>
    <row r="140" spans="1:8" s="150" customFormat="1">
      <c r="A140" s="33" t="s">
        <v>79</v>
      </c>
      <c r="B140" s="39" t="s">
        <v>81</v>
      </c>
      <c r="C140" s="14"/>
      <c r="D140" s="15"/>
      <c r="E140" s="221"/>
      <c r="F140" s="35"/>
      <c r="H140" s="151"/>
    </row>
    <row r="141" spans="1:8" s="150" customFormat="1">
      <c r="A141" s="40"/>
      <c r="B141" s="13" t="s">
        <v>78</v>
      </c>
      <c r="C141" s="14">
        <f>1*4</f>
        <v>4</v>
      </c>
      <c r="D141" s="15"/>
      <c r="E141" s="221"/>
      <c r="F141" s="35"/>
      <c r="H141" s="151"/>
    </row>
    <row r="142" spans="1:8" s="150" customFormat="1">
      <c r="A142" s="41"/>
      <c r="B142" s="17" t="s">
        <v>4</v>
      </c>
      <c r="C142" s="18"/>
      <c r="D142" s="51">
        <f>C141</f>
        <v>4</v>
      </c>
      <c r="E142" s="225"/>
      <c r="F142" s="142">
        <f>D142*ROUND(E142,2)</f>
        <v>0</v>
      </c>
      <c r="H142" s="151"/>
    </row>
    <row r="143" spans="1:8">
      <c r="A143" s="9"/>
      <c r="B143" s="19" t="s">
        <v>69</v>
      </c>
      <c r="C143" s="14"/>
      <c r="D143" s="15"/>
      <c r="E143" s="220"/>
      <c r="F143" s="8">
        <f>SUM(F130,F134,F138,F142)</f>
        <v>0</v>
      </c>
    </row>
    <row r="144" spans="1:8">
      <c r="A144" s="9"/>
      <c r="B144" s="19"/>
      <c r="C144" s="14"/>
      <c r="D144" s="15"/>
      <c r="E144" s="220"/>
      <c r="F144" s="8"/>
    </row>
    <row r="145" spans="1:6">
      <c r="A145" s="244" t="s">
        <v>82</v>
      </c>
      <c r="B145" s="244"/>
      <c r="C145" s="244"/>
      <c r="D145" s="244"/>
      <c r="E145" s="221"/>
    </row>
    <row r="146" spans="1:6">
      <c r="A146" s="9"/>
      <c r="B146" s="19"/>
      <c r="C146" s="14"/>
      <c r="D146" s="15"/>
      <c r="E146" s="220"/>
      <c r="F146" s="8"/>
    </row>
    <row r="147" spans="1:6">
      <c r="A147" s="33"/>
      <c r="B147" s="42" t="s">
        <v>83</v>
      </c>
      <c r="C147" s="14"/>
      <c r="D147" s="15"/>
      <c r="E147" s="217"/>
      <c r="F147" s="35"/>
    </row>
    <row r="148" spans="1:6">
      <c r="A148" s="33"/>
      <c r="B148" s="12"/>
      <c r="C148" s="14"/>
      <c r="D148" s="15"/>
      <c r="E148" s="217"/>
      <c r="F148" s="35"/>
    </row>
    <row r="149" spans="1:6">
      <c r="A149" s="33" t="s">
        <v>99</v>
      </c>
      <c r="B149" s="43" t="s">
        <v>84</v>
      </c>
      <c r="C149" s="14"/>
      <c r="D149" s="15"/>
      <c r="E149" s="217"/>
      <c r="F149" s="35"/>
    </row>
    <row r="150" spans="1:6">
      <c r="A150" s="33"/>
      <c r="B150" s="13"/>
      <c r="C150" s="14">
        <v>1</v>
      </c>
      <c r="D150" s="15"/>
      <c r="E150" s="217"/>
      <c r="F150" s="35"/>
    </row>
    <row r="151" spans="1:6">
      <c r="A151" s="33"/>
      <c r="B151" s="43" t="s">
        <v>4</v>
      </c>
      <c r="C151" s="14"/>
      <c r="D151" s="15">
        <v>1</v>
      </c>
      <c r="E151" s="217"/>
      <c r="F151" s="8">
        <f>D151*ROUND(E151,2)</f>
        <v>0</v>
      </c>
    </row>
    <row r="152" spans="1:6">
      <c r="A152" s="33"/>
      <c r="B152" s="13"/>
      <c r="C152" s="14"/>
      <c r="D152" s="15"/>
      <c r="E152" s="217"/>
      <c r="F152" s="35"/>
    </row>
    <row r="153" spans="1:6" ht="66.75" customHeight="1">
      <c r="A153" s="33" t="s">
        <v>100</v>
      </c>
      <c r="B153" s="30" t="s">
        <v>85</v>
      </c>
      <c r="C153" s="14"/>
      <c r="D153" s="15"/>
      <c r="E153" s="217"/>
      <c r="F153" s="35"/>
    </row>
    <row r="154" spans="1:6">
      <c r="A154" s="33"/>
      <c r="B154" s="13" t="s">
        <v>86</v>
      </c>
      <c r="C154" s="13">
        <f>0.57*0.95*1.15</f>
        <v>0.62272499999999997</v>
      </c>
      <c r="D154" s="15"/>
      <c r="E154" s="217"/>
      <c r="F154" s="35"/>
    </row>
    <row r="155" spans="1:6">
      <c r="A155" s="33"/>
      <c r="B155" s="12" t="s">
        <v>13</v>
      </c>
      <c r="C155" s="14"/>
      <c r="D155" s="15">
        <v>0.62</v>
      </c>
      <c r="E155" s="217"/>
      <c r="F155" s="8">
        <f>D155*ROUND(E155,2)</f>
        <v>0</v>
      </c>
    </row>
    <row r="156" spans="1:6">
      <c r="A156" s="33"/>
      <c r="B156" s="13"/>
      <c r="C156" s="14"/>
      <c r="D156" s="15"/>
      <c r="E156" s="217"/>
      <c r="F156" s="35"/>
    </row>
    <row r="157" spans="1:6" ht="92.4">
      <c r="A157" s="33" t="s">
        <v>101</v>
      </c>
      <c r="B157" s="30" t="s">
        <v>87</v>
      </c>
      <c r="C157" s="14"/>
      <c r="D157" s="15"/>
      <c r="E157" s="217"/>
      <c r="F157" s="35"/>
    </row>
    <row r="158" spans="1:6">
      <c r="A158" s="33"/>
      <c r="B158" s="13" t="s">
        <v>88</v>
      </c>
      <c r="C158" s="13">
        <f>0.75*14</f>
        <v>10.5</v>
      </c>
      <c r="D158" s="15"/>
      <c r="E158" s="217"/>
      <c r="F158" s="35"/>
    </row>
    <row r="159" spans="1:6">
      <c r="A159" s="33"/>
      <c r="B159" s="43" t="s">
        <v>63</v>
      </c>
      <c r="C159" s="14"/>
      <c r="D159" s="15">
        <v>10.5</v>
      </c>
      <c r="E159" s="217"/>
      <c r="F159" s="8">
        <f>D159*ROUND(E159,2)</f>
        <v>0</v>
      </c>
    </row>
    <row r="160" spans="1:6">
      <c r="A160" s="33"/>
      <c r="B160" s="13"/>
      <c r="C160" s="14"/>
      <c r="D160" s="15"/>
      <c r="E160" s="217"/>
      <c r="F160" s="35"/>
    </row>
    <row r="161" spans="1:6" ht="32.25" customHeight="1">
      <c r="A161" s="33" t="s">
        <v>102</v>
      </c>
      <c r="B161" s="34" t="s">
        <v>89</v>
      </c>
      <c r="C161" s="14"/>
      <c r="D161" s="15"/>
      <c r="E161" s="217"/>
      <c r="F161" s="35"/>
    </row>
    <row r="162" spans="1:6">
      <c r="A162" s="33"/>
      <c r="B162" s="34"/>
      <c r="C162" s="14">
        <v>14</v>
      </c>
      <c r="D162" s="15"/>
      <c r="E162" s="217"/>
      <c r="F162" s="35"/>
    </row>
    <row r="163" spans="1:6">
      <c r="A163" s="33"/>
      <c r="B163" s="34" t="s">
        <v>4</v>
      </c>
      <c r="C163" s="14"/>
      <c r="D163" s="15">
        <v>14</v>
      </c>
      <c r="E163" s="217"/>
      <c r="F163" s="8">
        <f>D163*ROUND(E163,2)</f>
        <v>0</v>
      </c>
    </row>
    <row r="164" spans="1:6">
      <c r="A164" s="33"/>
      <c r="B164" s="13"/>
      <c r="C164" s="14"/>
      <c r="D164" s="15"/>
      <c r="E164" s="217"/>
      <c r="F164" s="35"/>
    </row>
    <row r="165" spans="1:6" ht="54.75" customHeight="1">
      <c r="A165" s="33" t="s">
        <v>103</v>
      </c>
      <c r="B165" s="34" t="s">
        <v>90</v>
      </c>
      <c r="C165" s="14"/>
      <c r="D165" s="15"/>
      <c r="E165" s="217"/>
      <c r="F165" s="35"/>
    </row>
    <row r="166" spans="1:6">
      <c r="A166" s="33"/>
      <c r="B166" s="13"/>
      <c r="C166" s="14">
        <v>14</v>
      </c>
      <c r="D166" s="15"/>
      <c r="E166" s="217"/>
      <c r="F166" s="35"/>
    </row>
    <row r="167" spans="1:6">
      <c r="A167" s="33"/>
      <c r="B167" s="34" t="s">
        <v>4</v>
      </c>
      <c r="C167" s="14"/>
      <c r="D167" s="15">
        <v>14</v>
      </c>
      <c r="E167" s="217"/>
      <c r="F167" s="8">
        <f>D167*ROUND(E167,2)</f>
        <v>0</v>
      </c>
    </row>
    <row r="168" spans="1:6">
      <c r="A168" s="33"/>
      <c r="B168" s="13"/>
      <c r="C168" s="14"/>
      <c r="D168" s="15"/>
      <c r="E168" s="217"/>
      <c r="F168" s="35"/>
    </row>
    <row r="169" spans="1:6" ht="39.6">
      <c r="A169" s="33" t="s">
        <v>104</v>
      </c>
      <c r="B169" s="30" t="s">
        <v>91</v>
      </c>
      <c r="C169" s="14"/>
      <c r="D169" s="15"/>
      <c r="E169" s="217"/>
      <c r="F169" s="35"/>
    </row>
    <row r="170" spans="1:6">
      <c r="A170" s="33"/>
      <c r="B170" s="13" t="s">
        <v>92</v>
      </c>
      <c r="C170" s="13">
        <f>0.86*12*6.471</f>
        <v>66.780720000000002</v>
      </c>
      <c r="D170" s="15"/>
      <c r="E170" s="217"/>
      <c r="F170" s="35"/>
    </row>
    <row r="171" spans="1:6">
      <c r="A171" s="33"/>
      <c r="B171" s="34" t="s">
        <v>25</v>
      </c>
      <c r="C171" s="14"/>
      <c r="D171" s="15">
        <v>66.78</v>
      </c>
      <c r="E171" s="217"/>
      <c r="F171" s="8">
        <f>D171*ROUND(E171,2)</f>
        <v>0</v>
      </c>
    </row>
    <row r="172" spans="1:6">
      <c r="A172" s="33"/>
      <c r="B172" s="13"/>
      <c r="C172" s="14"/>
      <c r="D172" s="15"/>
      <c r="E172" s="217"/>
      <c r="F172" s="35"/>
    </row>
    <row r="173" spans="1:6" ht="63.75" customHeight="1">
      <c r="A173" s="33" t="s">
        <v>105</v>
      </c>
      <c r="B173" s="44" t="s">
        <v>113</v>
      </c>
      <c r="C173" s="14"/>
      <c r="D173" s="15"/>
      <c r="E173" s="217"/>
      <c r="F173" s="35"/>
    </row>
    <row r="174" spans="1:6">
      <c r="A174" s="33"/>
      <c r="B174" s="13"/>
      <c r="C174" s="14"/>
      <c r="D174" s="15"/>
      <c r="E174" s="217"/>
      <c r="F174" s="35"/>
    </row>
    <row r="175" spans="1:6">
      <c r="A175" s="33"/>
      <c r="B175" s="34" t="s">
        <v>25</v>
      </c>
      <c r="C175" s="14"/>
      <c r="D175" s="15">
        <v>410</v>
      </c>
      <c r="E175" s="217"/>
      <c r="F175" s="8">
        <f>D175*ROUND(E175,2)</f>
        <v>0</v>
      </c>
    </row>
    <row r="176" spans="1:6">
      <c r="A176" s="33"/>
      <c r="B176" s="13"/>
      <c r="C176" s="14"/>
      <c r="D176" s="15"/>
      <c r="E176" s="217"/>
      <c r="F176" s="35"/>
    </row>
    <row r="177" spans="1:6" ht="52.8">
      <c r="A177" s="33" t="s">
        <v>106</v>
      </c>
      <c r="B177" s="44" t="s">
        <v>126</v>
      </c>
      <c r="C177" s="14"/>
      <c r="D177" s="15"/>
      <c r="E177" s="217"/>
      <c r="F177" s="35"/>
    </row>
    <row r="178" spans="1:6">
      <c r="A178" s="33"/>
      <c r="B178" s="13" t="s">
        <v>86</v>
      </c>
      <c r="C178" s="13">
        <f>0.57*0.95*1.15</f>
        <v>0.62272499999999997</v>
      </c>
      <c r="D178" s="15"/>
      <c r="E178" s="217"/>
      <c r="F178" s="35"/>
    </row>
    <row r="179" spans="1:6">
      <c r="A179" s="33"/>
      <c r="B179" s="12" t="s">
        <v>13</v>
      </c>
      <c r="C179" s="14"/>
      <c r="D179" s="15">
        <v>0.62</v>
      </c>
      <c r="E179" s="217"/>
      <c r="F179" s="8">
        <f>D179*ROUND(E179,2)</f>
        <v>0</v>
      </c>
    </row>
    <row r="180" spans="1:6">
      <c r="A180" s="33"/>
      <c r="B180" s="13"/>
      <c r="C180" s="14"/>
      <c r="D180" s="15"/>
      <c r="E180" s="217"/>
      <c r="F180" s="35"/>
    </row>
    <row r="181" spans="1:6" ht="39.6">
      <c r="A181" s="33" t="s">
        <v>107</v>
      </c>
      <c r="B181" s="30" t="s">
        <v>93</v>
      </c>
      <c r="C181" s="14"/>
      <c r="D181" s="15"/>
      <c r="E181" s="217"/>
      <c r="F181" s="35"/>
    </row>
    <row r="182" spans="1:6">
      <c r="A182" s="33"/>
      <c r="B182" s="13"/>
      <c r="C182" s="14"/>
      <c r="D182" s="15"/>
      <c r="E182" s="217"/>
      <c r="F182" s="35"/>
    </row>
    <row r="183" spans="1:6">
      <c r="A183" s="33"/>
      <c r="B183" s="34" t="s">
        <v>25</v>
      </c>
      <c r="C183" s="14"/>
      <c r="D183" s="15">
        <v>360.7</v>
      </c>
      <c r="E183" s="217"/>
      <c r="F183" s="8">
        <f>D183*ROUND(E183,2)</f>
        <v>0</v>
      </c>
    </row>
    <row r="184" spans="1:6">
      <c r="A184" s="33"/>
      <c r="B184" s="13"/>
      <c r="C184" s="14"/>
      <c r="D184" s="15"/>
      <c r="E184" s="217"/>
      <c r="F184" s="35"/>
    </row>
    <row r="185" spans="1:6" ht="26.4">
      <c r="A185" s="33" t="s">
        <v>108</v>
      </c>
      <c r="B185" s="30" t="s">
        <v>94</v>
      </c>
      <c r="C185" s="14"/>
      <c r="D185" s="15"/>
      <c r="E185" s="217"/>
      <c r="F185" s="35"/>
    </row>
    <row r="186" spans="1:6">
      <c r="A186" s="33"/>
      <c r="B186" s="13"/>
      <c r="C186" s="13"/>
      <c r="D186" s="15"/>
      <c r="E186" s="217"/>
      <c r="F186" s="35"/>
    </row>
    <row r="187" spans="1:6">
      <c r="A187" s="33"/>
      <c r="B187" s="12" t="s">
        <v>13</v>
      </c>
      <c r="C187" s="14"/>
      <c r="D187" s="15">
        <v>0.13</v>
      </c>
      <c r="E187" s="217"/>
      <c r="F187" s="8">
        <f>D187*ROUND(E187,2)</f>
        <v>0</v>
      </c>
    </row>
    <row r="188" spans="1:6">
      <c r="A188" s="33"/>
      <c r="B188" s="13"/>
      <c r="C188" s="14"/>
      <c r="D188" s="15"/>
      <c r="E188" s="217"/>
      <c r="F188" s="35"/>
    </row>
    <row r="189" spans="1:6" ht="26.4">
      <c r="A189" s="33" t="s">
        <v>109</v>
      </c>
      <c r="B189" s="44" t="s">
        <v>119</v>
      </c>
      <c r="C189" s="14"/>
      <c r="D189" s="15"/>
      <c r="E189" s="217"/>
      <c r="F189" s="35"/>
    </row>
    <row r="190" spans="1:6">
      <c r="A190" s="33"/>
      <c r="B190" s="13" t="s">
        <v>95</v>
      </c>
      <c r="C190" s="13">
        <f>0.15*1.5*2</f>
        <v>0.44999999999999996</v>
      </c>
      <c r="D190" s="15"/>
      <c r="E190" s="217"/>
      <c r="F190" s="35"/>
    </row>
    <row r="191" spans="1:6">
      <c r="A191" s="33"/>
      <c r="B191" s="12" t="s">
        <v>13</v>
      </c>
      <c r="C191" s="14"/>
      <c r="D191" s="15">
        <v>0.45</v>
      </c>
      <c r="E191" s="217"/>
      <c r="F191" s="8">
        <f>D191*ROUND(E191,2)</f>
        <v>0</v>
      </c>
    </row>
    <row r="192" spans="1:6" ht="13.8">
      <c r="A192" s="33"/>
      <c r="B192" s="45"/>
      <c r="C192" s="14"/>
      <c r="D192" s="15"/>
      <c r="E192" s="217"/>
      <c r="F192" s="35"/>
    </row>
    <row r="193" spans="1:8" ht="26.4">
      <c r="A193" s="33" t="s">
        <v>110</v>
      </c>
      <c r="B193" s="30" t="s">
        <v>96</v>
      </c>
      <c r="C193" s="14"/>
      <c r="D193" s="15"/>
      <c r="E193" s="217"/>
      <c r="F193" s="35"/>
    </row>
    <row r="194" spans="1:8">
      <c r="A194" s="33"/>
      <c r="B194" s="30"/>
      <c r="C194" s="14"/>
      <c r="D194" s="15"/>
      <c r="E194" s="217"/>
      <c r="F194" s="35"/>
    </row>
    <row r="195" spans="1:8">
      <c r="A195" s="33"/>
      <c r="B195" s="12" t="s">
        <v>97</v>
      </c>
      <c r="C195" s="14"/>
      <c r="D195" s="15">
        <v>1</v>
      </c>
      <c r="E195" s="217"/>
      <c r="F195" s="8">
        <f>D195*ROUND(E195,2)</f>
        <v>0</v>
      </c>
    </row>
    <row r="196" spans="1:8" s="148" customFormat="1">
      <c r="A196" s="46"/>
      <c r="B196" s="47"/>
      <c r="C196" s="48"/>
      <c r="D196" s="49"/>
      <c r="E196" s="50"/>
      <c r="F196" s="152"/>
      <c r="H196" s="153"/>
    </row>
    <row r="197" spans="1:8">
      <c r="A197" s="33"/>
      <c r="B197" s="13"/>
      <c r="C197" s="14"/>
      <c r="D197" s="15"/>
      <c r="E197" s="24"/>
      <c r="F197" s="35"/>
    </row>
    <row r="198" spans="1:8">
      <c r="A198" s="38"/>
      <c r="B198" s="17" t="s">
        <v>98</v>
      </c>
      <c r="C198" s="18"/>
      <c r="D198" s="51">
        <f>C197</f>
        <v>0</v>
      </c>
      <c r="E198" s="23"/>
      <c r="F198" s="23">
        <f>SUM(F149:F196)</f>
        <v>0</v>
      </c>
    </row>
    <row r="199" spans="1:8">
      <c r="A199" s="46"/>
      <c r="B199" s="52" t="s">
        <v>114</v>
      </c>
      <c r="C199" s="48"/>
      <c r="D199" s="49"/>
      <c r="E199" s="50"/>
      <c r="F199" s="50">
        <f>6*F198</f>
        <v>0</v>
      </c>
    </row>
    <row r="200" spans="1:8">
      <c r="A200" s="9"/>
      <c r="B200" s="19"/>
      <c r="C200" s="14"/>
      <c r="D200" s="15"/>
      <c r="E200" s="37"/>
      <c r="F200" s="8"/>
    </row>
    <row r="201" spans="1:8">
      <c r="A201" s="9"/>
      <c r="B201" s="19"/>
      <c r="C201" s="14"/>
      <c r="D201" s="15"/>
      <c r="E201" s="37"/>
      <c r="F201" s="8"/>
    </row>
    <row r="202" spans="1:8">
      <c r="A202" s="9"/>
      <c r="B202" s="12"/>
      <c r="C202" s="14"/>
      <c r="D202" s="15"/>
      <c r="E202" s="37"/>
      <c r="F202" s="8"/>
    </row>
    <row r="203" spans="1:8" ht="13.8" thickBot="1">
      <c r="A203" s="9"/>
      <c r="B203" s="12"/>
      <c r="C203" s="12"/>
      <c r="D203" s="37"/>
      <c r="E203" s="37"/>
    </row>
    <row r="204" spans="1:8" ht="13.8" thickTop="1">
      <c r="A204" s="53"/>
      <c r="B204" s="54" t="s">
        <v>0</v>
      </c>
      <c r="C204" s="55"/>
      <c r="D204" s="55"/>
      <c r="E204" s="55"/>
      <c r="F204" s="55">
        <f>SUM(F17,F36,F47,F97,F124,F143,F199)</f>
        <v>0</v>
      </c>
    </row>
    <row r="205" spans="1:8">
      <c r="A205" s="9"/>
      <c r="B205" s="20"/>
      <c r="C205" s="10"/>
      <c r="D205" s="10"/>
    </row>
    <row r="209" spans="2:2">
      <c r="B209" s="57"/>
    </row>
    <row r="210" spans="2:2">
      <c r="B210" s="57"/>
    </row>
    <row r="211" spans="2:2">
      <c r="B211" s="57"/>
    </row>
  </sheetData>
  <sheetProtection algorithmName="SHA-512" hashValue="B4rdRXyIBc/DiWKmgTOns/T5EET4xvp0FasPQd76HC6YpzOu+Nxx5glEWD+3Y2IafjPy4BRVTlCDaDYmWiWNJg==" saltValue="wTxpjl3JlOLZ+tSbJco6vQ==" spinCount="100000" sheet="1" objects="1" scenarios="1"/>
  <mergeCells count="8">
    <mergeCell ref="A145:D145"/>
    <mergeCell ref="B3:D3"/>
    <mergeCell ref="A126:D126"/>
    <mergeCell ref="A19:D19"/>
    <mergeCell ref="A8:D8"/>
    <mergeCell ref="A38:D38"/>
    <mergeCell ref="A50:D50"/>
    <mergeCell ref="A99:D99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&amp;Lver. 2020-12-02&amp;C&amp;8&amp;P/&amp;N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showZeros="0" view="pageBreakPreview" zoomScaleNormal="100" zoomScaleSheetLayoutView="100" workbookViewId="0">
      <selection activeCell="D9" sqref="D9"/>
    </sheetView>
  </sheetViews>
  <sheetFormatPr defaultColWidth="9.109375" defaultRowHeight="13.2"/>
  <cols>
    <col min="1" max="1" width="4.6640625" style="63" customWidth="1"/>
    <col min="2" max="2" width="43.109375" style="62" customWidth="1"/>
    <col min="3" max="3" width="5.6640625" style="61" bestFit="1" customWidth="1"/>
    <col min="4" max="4" width="9.88671875" style="61" bestFit="1" customWidth="1"/>
    <col min="5" max="5" width="9" style="1" bestFit="1" customWidth="1"/>
    <col min="6" max="6" width="10.88671875" style="1" bestFit="1" customWidth="1"/>
    <col min="7" max="7" width="9.109375" style="1"/>
    <col min="8" max="8" width="9.109375" style="5"/>
    <col min="9" max="16384" width="9.109375" style="1"/>
  </cols>
  <sheetData>
    <row r="1" spans="1:8" ht="12.75" customHeight="1">
      <c r="B1" s="241" t="s">
        <v>325</v>
      </c>
    </row>
    <row r="3" spans="1:8" s="2" customFormat="1">
      <c r="A3" s="77"/>
      <c r="B3" s="98" t="s">
        <v>133</v>
      </c>
      <c r="C3" s="64"/>
      <c r="D3" s="61"/>
      <c r="H3" s="4"/>
    </row>
    <row r="4" spans="1:8" s="2" customFormat="1">
      <c r="A4" s="66"/>
      <c r="B4" s="98"/>
      <c r="C4" s="64"/>
      <c r="D4" s="64"/>
      <c r="H4" s="4"/>
    </row>
    <row r="5" spans="1:8" s="2" customFormat="1">
      <c r="A5" s="66"/>
      <c r="B5" s="98" t="s">
        <v>132</v>
      </c>
      <c r="C5" s="64"/>
      <c r="D5" s="64"/>
      <c r="H5" s="4"/>
    </row>
    <row r="6" spans="1:8" s="2" customFormat="1">
      <c r="A6" s="66"/>
      <c r="B6" s="98"/>
      <c r="C6" s="64"/>
      <c r="D6" s="64"/>
      <c r="H6" s="4"/>
    </row>
    <row r="7" spans="1:8" s="2" customFormat="1">
      <c r="A7" s="80" t="s">
        <v>184</v>
      </c>
      <c r="B7" s="78" t="s">
        <v>186</v>
      </c>
      <c r="C7" s="79"/>
      <c r="D7" s="81" t="s">
        <v>185</v>
      </c>
      <c r="E7" s="81" t="s">
        <v>187</v>
      </c>
      <c r="F7" s="82" t="s">
        <v>188</v>
      </c>
      <c r="H7" s="4"/>
    </row>
    <row r="8" spans="1:8" s="2" customFormat="1" ht="63.75" customHeight="1">
      <c r="A8" s="66" t="s">
        <v>1</v>
      </c>
      <c r="B8" s="74" t="s">
        <v>131</v>
      </c>
      <c r="C8" s="64"/>
      <c r="D8" s="64"/>
      <c r="H8" s="4"/>
    </row>
    <row r="9" spans="1:8" s="2" customFormat="1">
      <c r="A9" s="66"/>
      <c r="B9" s="76" t="s">
        <v>130</v>
      </c>
      <c r="C9" s="73">
        <f>5*4.5*12</f>
        <v>270</v>
      </c>
      <c r="D9" s="75"/>
      <c r="H9" s="4"/>
    </row>
    <row r="10" spans="1:8" s="2" customFormat="1" ht="15.6">
      <c r="A10" s="66"/>
      <c r="B10" s="74" t="s">
        <v>127</v>
      </c>
      <c r="C10" s="73"/>
      <c r="D10" s="72">
        <f>C9</f>
        <v>270</v>
      </c>
      <c r="E10" s="226"/>
      <c r="F10" s="71">
        <f>D10*ROUND(E10,2)</f>
        <v>0</v>
      </c>
      <c r="H10" s="6"/>
    </row>
    <row r="11" spans="1:8" s="2" customFormat="1">
      <c r="A11" s="66"/>
      <c r="B11" s="65"/>
      <c r="C11" s="69"/>
      <c r="D11" s="70"/>
      <c r="E11" s="227"/>
      <c r="H11" s="4"/>
    </row>
    <row r="12" spans="1:8" s="2" customFormat="1" ht="79.2">
      <c r="A12" s="66" t="s">
        <v>3</v>
      </c>
      <c r="B12" s="74" t="s">
        <v>129</v>
      </c>
      <c r="C12" s="64"/>
      <c r="D12" s="64"/>
      <c r="E12" s="227"/>
      <c r="H12" s="4"/>
    </row>
    <row r="13" spans="1:8" s="2" customFormat="1">
      <c r="A13" s="66"/>
      <c r="B13" s="76" t="s">
        <v>128</v>
      </c>
      <c r="C13" s="73">
        <f>4*2.9*22</f>
        <v>255.2</v>
      </c>
      <c r="D13" s="75"/>
      <c r="E13" s="227"/>
      <c r="H13" s="4"/>
    </row>
    <row r="14" spans="1:8" s="2" customFormat="1" ht="15.6">
      <c r="A14" s="66"/>
      <c r="B14" s="74" t="s">
        <v>127</v>
      </c>
      <c r="C14" s="73"/>
      <c r="D14" s="72">
        <f>C13</f>
        <v>255.2</v>
      </c>
      <c r="E14" s="226"/>
      <c r="F14" s="71">
        <f>D14*ROUND(E14,2)</f>
        <v>0</v>
      </c>
      <c r="H14" s="6"/>
    </row>
    <row r="15" spans="1:8" s="2" customFormat="1">
      <c r="A15" s="66"/>
      <c r="B15" s="65"/>
      <c r="C15" s="69"/>
      <c r="D15" s="70"/>
      <c r="H15" s="4"/>
    </row>
    <row r="16" spans="1:8" ht="13.8" thickBot="1">
      <c r="A16" s="66"/>
      <c r="B16" s="65"/>
      <c r="C16" s="69"/>
      <c r="D16" s="69"/>
    </row>
    <row r="17" spans="1:6" ht="13.8" thickTop="1">
      <c r="A17" s="68"/>
      <c r="B17" s="67" t="s">
        <v>0</v>
      </c>
      <c r="C17" s="3"/>
      <c r="D17" s="3"/>
      <c r="E17" s="3"/>
      <c r="F17" s="3">
        <f>SUM(F10,F14)</f>
        <v>0</v>
      </c>
    </row>
    <row r="18" spans="1:6">
      <c r="A18" s="66"/>
      <c r="B18" s="65"/>
      <c r="C18" s="64"/>
      <c r="D18" s="64"/>
    </row>
    <row r="22" spans="1:6">
      <c r="B22" s="61"/>
    </row>
    <row r="23" spans="1:6">
      <c r="B23" s="61"/>
    </row>
    <row r="24" spans="1:6">
      <c r="B24" s="61"/>
    </row>
  </sheetData>
  <sheetProtection algorithmName="SHA-512" hashValue="JFIgCTVi3BrgiJrDwEFcKc8LEyxsaY5nRB2dytQboKtVBuPJTaC3tqPY7ZejJTBQ+/8dDDKio/XjabAx6rgHrw==" saltValue="i+Iw72mZhSR9ZX6aEsk+zg==" spinCount="100000"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&amp;Lver. 2020-12-02&amp;C&amp;8&amp;P/&amp;N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2"/>
  <sheetViews>
    <sheetView showZeros="0" tabSelected="1" view="pageBreakPreview" zoomScaleNormal="100" zoomScaleSheetLayoutView="100" workbookViewId="0">
      <pane ySplit="6" topLeftCell="A133" activePane="bottomLeft" state="frozen"/>
      <selection activeCell="C32" sqref="C32"/>
      <selection pane="bottomLeft" activeCell="B142" sqref="B142"/>
    </sheetView>
  </sheetViews>
  <sheetFormatPr defaultColWidth="9.109375" defaultRowHeight="13.2"/>
  <cols>
    <col min="1" max="1" width="4.6640625" style="56" customWidth="1"/>
    <col min="2" max="2" width="43.109375" style="58" customWidth="1"/>
    <col min="3" max="3" width="7.88671875" style="57" bestFit="1" customWidth="1"/>
    <col min="4" max="4" width="9.88671875" style="57" bestFit="1" customWidth="1"/>
    <col min="5" max="5" width="9" style="31" bestFit="1" customWidth="1"/>
    <col min="6" max="6" width="10.88671875" style="31" bestFit="1" customWidth="1"/>
    <col min="7" max="16384" width="9.109375" style="143"/>
  </cols>
  <sheetData>
    <row r="1" spans="1:8">
      <c r="B1" s="242" t="s">
        <v>326</v>
      </c>
    </row>
    <row r="2" spans="1:8">
      <c r="B2" s="242"/>
    </row>
    <row r="3" spans="1:8" s="139" customFormat="1" ht="27" customHeight="1">
      <c r="A3" s="7"/>
      <c r="B3" s="245" t="s">
        <v>183</v>
      </c>
      <c r="C3" s="246"/>
      <c r="D3" s="246"/>
      <c r="E3" s="246"/>
      <c r="F3" s="8"/>
    </row>
    <row r="4" spans="1:8" s="139" customFormat="1">
      <c r="A4" s="9"/>
      <c r="B4" s="97" t="s">
        <v>182</v>
      </c>
      <c r="C4" s="10"/>
      <c r="D4" s="10"/>
      <c r="E4" s="8"/>
      <c r="F4" s="8"/>
    </row>
    <row r="5" spans="1:8" s="139" customFormat="1">
      <c r="A5" s="9"/>
      <c r="B5" s="97"/>
      <c r="C5" s="10"/>
      <c r="D5" s="10"/>
      <c r="E5" s="8"/>
      <c r="F5" s="8"/>
    </row>
    <row r="6" spans="1:8" s="139" customFormat="1">
      <c r="A6" s="80" t="s">
        <v>184</v>
      </c>
      <c r="B6" s="78" t="s">
        <v>186</v>
      </c>
      <c r="C6" s="79"/>
      <c r="D6" s="81" t="s">
        <v>185</v>
      </c>
      <c r="E6" s="81" t="s">
        <v>187</v>
      </c>
      <c r="F6" s="81" t="s">
        <v>188</v>
      </c>
    </row>
    <row r="7" spans="1:8" s="139" customFormat="1">
      <c r="A7" s="9"/>
      <c r="B7" s="97"/>
      <c r="C7" s="10"/>
      <c r="D7" s="10"/>
      <c r="E7" s="8"/>
      <c r="F7" s="8"/>
    </row>
    <row r="8" spans="1:8" s="139" customFormat="1">
      <c r="A8" s="244" t="s">
        <v>5</v>
      </c>
      <c r="B8" s="244"/>
      <c r="C8" s="244"/>
      <c r="D8" s="244"/>
      <c r="E8" s="214"/>
      <c r="F8" s="8"/>
    </row>
    <row r="9" spans="1:8" s="139" customFormat="1">
      <c r="A9" s="96"/>
      <c r="B9" s="96"/>
      <c r="C9" s="96"/>
      <c r="D9" s="59"/>
      <c r="E9" s="214"/>
      <c r="F9" s="8"/>
    </row>
    <row r="10" spans="1:8" s="139" customFormat="1" ht="26.4">
      <c r="A10" s="11" t="s">
        <v>6</v>
      </c>
      <c r="B10" s="12" t="s">
        <v>2</v>
      </c>
      <c r="C10" s="10"/>
      <c r="D10" s="10"/>
      <c r="E10" s="214"/>
      <c r="F10" s="8"/>
    </row>
    <row r="11" spans="1:8" s="139" customFormat="1">
      <c r="A11" s="9"/>
      <c r="B11" s="13" t="s">
        <v>181</v>
      </c>
      <c r="C11" s="14">
        <f>2*100</f>
        <v>200</v>
      </c>
      <c r="D11" s="15"/>
      <c r="E11" s="214"/>
      <c r="F11" s="8"/>
    </row>
    <row r="12" spans="1:8" s="139" customFormat="1">
      <c r="A12" s="9"/>
      <c r="B12" s="12" t="s">
        <v>19</v>
      </c>
      <c r="C12" s="14"/>
      <c r="D12" s="15">
        <f>C11</f>
        <v>200</v>
      </c>
      <c r="E12" s="214"/>
      <c r="F12" s="147">
        <f>D12*ROUND(E12,2)</f>
        <v>0</v>
      </c>
    </row>
    <row r="13" spans="1:8" s="139" customFormat="1">
      <c r="A13" s="9"/>
      <c r="B13" s="20"/>
      <c r="C13" s="21"/>
      <c r="D13" s="22"/>
      <c r="E13" s="214"/>
      <c r="F13" s="8"/>
    </row>
    <row r="14" spans="1:8" s="155" customFormat="1" ht="26.4">
      <c r="A14" s="33" t="s">
        <v>7</v>
      </c>
      <c r="B14" s="12" t="s">
        <v>180</v>
      </c>
      <c r="C14" s="15"/>
      <c r="D14" s="15"/>
      <c r="E14" s="217"/>
      <c r="F14" s="24"/>
      <c r="G14" s="139"/>
      <c r="H14" s="139"/>
    </row>
    <row r="15" spans="1:8" s="155" customFormat="1">
      <c r="A15" s="40"/>
      <c r="B15" s="13" t="s">
        <v>179</v>
      </c>
      <c r="C15" s="14">
        <f>1*7</f>
        <v>7</v>
      </c>
      <c r="D15" s="15"/>
      <c r="E15" s="217"/>
      <c r="F15" s="24"/>
      <c r="G15" s="139"/>
      <c r="H15" s="139"/>
    </row>
    <row r="16" spans="1:8" s="155" customFormat="1">
      <c r="A16" s="40"/>
      <c r="B16" s="12" t="s">
        <v>4</v>
      </c>
      <c r="C16" s="14"/>
      <c r="D16" s="15">
        <f>C15</f>
        <v>7</v>
      </c>
      <c r="E16" s="217"/>
      <c r="F16" s="147">
        <f>D16*ROUND(E16,2)</f>
        <v>0</v>
      </c>
      <c r="G16" s="139"/>
      <c r="H16" s="139"/>
    </row>
    <row r="17" spans="1:6" s="139" customFormat="1">
      <c r="A17" s="9"/>
      <c r="B17" s="20"/>
      <c r="C17" s="21"/>
      <c r="D17" s="22"/>
      <c r="E17" s="214"/>
      <c r="F17" s="8"/>
    </row>
    <row r="18" spans="1:6" s="139" customFormat="1" ht="26.4">
      <c r="A18" s="11" t="s">
        <v>8</v>
      </c>
      <c r="B18" s="12" t="s">
        <v>178</v>
      </c>
      <c r="C18" s="10"/>
      <c r="D18" s="10"/>
      <c r="E18" s="214"/>
      <c r="F18" s="8"/>
    </row>
    <row r="19" spans="1:6" s="139" customFormat="1">
      <c r="A19" s="9"/>
      <c r="B19" s="13" t="s">
        <v>177</v>
      </c>
      <c r="C19" s="14">
        <f>0.1*18*100</f>
        <v>180</v>
      </c>
      <c r="D19" s="15"/>
      <c r="E19" s="214"/>
      <c r="F19" s="8"/>
    </row>
    <row r="20" spans="1:6" s="139" customFormat="1">
      <c r="A20" s="9"/>
      <c r="B20" s="12" t="s">
        <v>13</v>
      </c>
      <c r="C20" s="14"/>
      <c r="D20" s="15">
        <f>C19</f>
        <v>180</v>
      </c>
      <c r="E20" s="214"/>
      <c r="F20" s="147">
        <f>D20*ROUND(E20,2)</f>
        <v>0</v>
      </c>
    </row>
    <row r="21" spans="1:6" s="139" customFormat="1">
      <c r="A21" s="9"/>
      <c r="B21" s="12"/>
      <c r="C21" s="14"/>
      <c r="D21" s="15"/>
      <c r="E21" s="214"/>
      <c r="F21" s="8"/>
    </row>
    <row r="22" spans="1:6" s="139" customFormat="1" ht="26.4">
      <c r="A22" s="11" t="s">
        <v>11</v>
      </c>
      <c r="B22" s="12" t="s">
        <v>176</v>
      </c>
      <c r="C22" s="10"/>
      <c r="D22" s="10"/>
      <c r="E22" s="214"/>
      <c r="F22" s="8"/>
    </row>
    <row r="23" spans="1:6" s="139" customFormat="1">
      <c r="A23" s="9"/>
      <c r="B23" s="13" t="s">
        <v>175</v>
      </c>
      <c r="C23" s="14">
        <f>0.28*18*100</f>
        <v>504.00000000000011</v>
      </c>
      <c r="D23" s="15"/>
      <c r="E23" s="214"/>
      <c r="F23" s="8"/>
    </row>
    <row r="24" spans="1:6" s="139" customFormat="1">
      <c r="A24" s="9"/>
      <c r="B24" s="12" t="s">
        <v>13</v>
      </c>
      <c r="C24" s="14"/>
      <c r="D24" s="15">
        <f>C23</f>
        <v>504.00000000000011</v>
      </c>
      <c r="E24" s="214"/>
      <c r="F24" s="147">
        <f>D24*ROUND(E24,2)</f>
        <v>0</v>
      </c>
    </row>
    <row r="25" spans="1:6" s="139" customFormat="1">
      <c r="A25" s="9"/>
      <c r="B25" s="12"/>
      <c r="C25" s="14"/>
      <c r="D25" s="15"/>
      <c r="E25" s="214"/>
      <c r="F25" s="8"/>
    </row>
    <row r="26" spans="1:6" s="139" customFormat="1" ht="26.4">
      <c r="A26" s="11" t="s">
        <v>174</v>
      </c>
      <c r="B26" s="12" t="s">
        <v>12</v>
      </c>
      <c r="C26" s="10"/>
      <c r="D26" s="10"/>
      <c r="E26" s="214"/>
      <c r="F26" s="8"/>
    </row>
    <row r="27" spans="1:6" s="139" customFormat="1">
      <c r="A27" s="9"/>
      <c r="B27" s="13" t="s">
        <v>171</v>
      </c>
      <c r="C27" s="14">
        <f>1*0.18*100</f>
        <v>18</v>
      </c>
      <c r="D27" s="15"/>
      <c r="E27" s="214"/>
      <c r="F27" s="8"/>
    </row>
    <row r="28" spans="1:6" s="139" customFormat="1">
      <c r="A28" s="9"/>
      <c r="B28" s="12" t="s">
        <v>13</v>
      </c>
      <c r="C28" s="14"/>
      <c r="D28" s="15">
        <f>C27</f>
        <v>18</v>
      </c>
      <c r="E28" s="217"/>
      <c r="F28" s="147">
        <f>D28*ROUND(E28,2)</f>
        <v>0</v>
      </c>
    </row>
    <row r="29" spans="1:6" s="139" customFormat="1">
      <c r="A29" s="9"/>
      <c r="B29" s="12"/>
      <c r="C29" s="14"/>
      <c r="D29" s="15"/>
      <c r="E29" s="214"/>
      <c r="F29" s="8"/>
    </row>
    <row r="30" spans="1:6" s="139" customFormat="1" ht="26.4">
      <c r="A30" s="11" t="s">
        <v>173</v>
      </c>
      <c r="B30" s="12" t="s">
        <v>172</v>
      </c>
      <c r="C30" s="10"/>
      <c r="D30" s="10"/>
      <c r="E30" s="214"/>
      <c r="F30" s="8"/>
    </row>
    <row r="31" spans="1:6" s="139" customFormat="1">
      <c r="A31" s="9"/>
      <c r="B31" s="13" t="s">
        <v>171</v>
      </c>
      <c r="C31" s="14">
        <f>1*0.18*100</f>
        <v>18</v>
      </c>
      <c r="D31" s="15"/>
      <c r="E31" s="214"/>
      <c r="F31" s="8"/>
    </row>
    <row r="32" spans="1:6" s="139" customFormat="1">
      <c r="A32" s="9"/>
      <c r="B32" s="12" t="s">
        <v>13</v>
      </c>
      <c r="C32" s="14"/>
      <c r="D32" s="15">
        <f>C31</f>
        <v>18</v>
      </c>
      <c r="E32" s="217"/>
      <c r="F32" s="147">
        <f>D32*ROUND(E32,2)</f>
        <v>0</v>
      </c>
    </row>
    <row r="33" spans="1:6" s="139" customFormat="1">
      <c r="A33" s="9"/>
      <c r="B33" s="12"/>
      <c r="C33" s="14"/>
      <c r="D33" s="15"/>
      <c r="E33" s="214"/>
      <c r="F33" s="8"/>
    </row>
    <row r="34" spans="1:6" s="139" customFormat="1">
      <c r="A34" s="9"/>
      <c r="B34" s="12"/>
      <c r="C34" s="14"/>
      <c r="D34" s="15"/>
      <c r="E34" s="214"/>
      <c r="F34" s="8"/>
    </row>
    <row r="35" spans="1:6" s="139" customFormat="1" ht="52.8">
      <c r="A35" s="11" t="s">
        <v>170</v>
      </c>
      <c r="B35" s="12" t="s">
        <v>169</v>
      </c>
      <c r="C35" s="10"/>
      <c r="D35" s="10"/>
      <c r="E35" s="214"/>
      <c r="F35" s="8"/>
    </row>
    <row r="36" spans="1:6" s="139" customFormat="1">
      <c r="A36" s="9"/>
      <c r="B36" s="13" t="s">
        <v>168</v>
      </c>
      <c r="C36" s="14">
        <f>12*0.27*1</f>
        <v>3.24</v>
      </c>
      <c r="D36" s="15"/>
      <c r="E36" s="214"/>
      <c r="F36" s="8"/>
    </row>
    <row r="37" spans="1:6" s="139" customFormat="1">
      <c r="A37" s="16"/>
      <c r="B37" s="17" t="s">
        <v>13</v>
      </c>
      <c r="C37" s="18"/>
      <c r="D37" s="51">
        <f>C36</f>
        <v>3.24</v>
      </c>
      <c r="E37" s="216"/>
      <c r="F37" s="142">
        <f>D37*ROUND(E37,2)</f>
        <v>0</v>
      </c>
    </row>
    <row r="38" spans="1:6" s="139" customFormat="1">
      <c r="A38" s="9"/>
      <c r="B38" s="154" t="s">
        <v>73</v>
      </c>
      <c r="C38" s="14"/>
      <c r="D38" s="15"/>
      <c r="E38" s="214"/>
      <c r="F38" s="8">
        <f>SUM(F12,F16,F20,F24,F28,F32,F37)</f>
        <v>0</v>
      </c>
    </row>
    <row r="39" spans="1:6" s="139" customFormat="1">
      <c r="A39" s="9"/>
      <c r="B39" s="12"/>
      <c r="C39" s="14"/>
      <c r="D39" s="15"/>
      <c r="E39" s="214"/>
      <c r="F39" s="8"/>
    </row>
    <row r="40" spans="1:6" s="139" customFormat="1">
      <c r="A40" s="244" t="s">
        <v>17</v>
      </c>
      <c r="B40" s="244"/>
      <c r="C40" s="244"/>
      <c r="D40" s="244"/>
      <c r="E40" s="214"/>
      <c r="F40" s="8"/>
    </row>
    <row r="41" spans="1:6" s="139" customFormat="1">
      <c r="A41" s="96"/>
      <c r="B41" s="96"/>
      <c r="C41" s="96"/>
      <c r="D41" s="59"/>
      <c r="E41" s="214"/>
      <c r="F41" s="8"/>
    </row>
    <row r="42" spans="1:6" s="139" customFormat="1" ht="26.4">
      <c r="A42" s="11" t="s">
        <v>18</v>
      </c>
      <c r="B42" s="25" t="s">
        <v>59</v>
      </c>
      <c r="C42" s="10"/>
      <c r="D42" s="10"/>
      <c r="E42" s="214"/>
      <c r="F42" s="8"/>
    </row>
    <row r="43" spans="1:6" s="139" customFormat="1" ht="15" customHeight="1">
      <c r="A43" s="9"/>
      <c r="B43" s="13" t="s">
        <v>167</v>
      </c>
      <c r="C43" s="13">
        <f>1 * 245 * 0.4 + 2 * 0.36*100</f>
        <v>170</v>
      </c>
      <c r="D43" s="15"/>
      <c r="E43" s="214"/>
      <c r="F43" s="8"/>
    </row>
    <row r="44" spans="1:6" s="139" customFormat="1">
      <c r="A44" s="9"/>
      <c r="B44" s="12" t="s">
        <v>9</v>
      </c>
      <c r="C44" s="14"/>
      <c r="D44" s="15">
        <f>C43</f>
        <v>170</v>
      </c>
      <c r="E44" s="214"/>
      <c r="F44" s="147">
        <f>D44*ROUND(E44,2)</f>
        <v>0</v>
      </c>
    </row>
    <row r="45" spans="1:6" s="139" customFormat="1">
      <c r="A45" s="9"/>
      <c r="B45" s="12"/>
      <c r="C45" s="14"/>
      <c r="D45" s="15"/>
      <c r="E45" s="214"/>
      <c r="F45" s="8"/>
    </row>
    <row r="46" spans="1:6" s="139" customFormat="1" ht="39.6">
      <c r="A46" s="11" t="s">
        <v>62</v>
      </c>
      <c r="B46" s="30" t="s">
        <v>125</v>
      </c>
      <c r="C46" s="14"/>
      <c r="D46" s="15"/>
      <c r="E46" s="214"/>
      <c r="F46" s="8"/>
    </row>
    <row r="47" spans="1:6" s="139" customFormat="1">
      <c r="A47" s="9"/>
      <c r="B47" s="13" t="s">
        <v>166</v>
      </c>
      <c r="C47" s="13">
        <f xml:space="preserve"> 200</f>
        <v>200</v>
      </c>
      <c r="D47" s="15"/>
      <c r="E47" s="214"/>
      <c r="F47" s="8"/>
    </row>
    <row r="48" spans="1:6" s="139" customFormat="1">
      <c r="A48" s="29"/>
      <c r="B48" s="17" t="s">
        <v>63</v>
      </c>
      <c r="C48" s="18"/>
      <c r="D48" s="51">
        <f>C47</f>
        <v>200</v>
      </c>
      <c r="E48" s="215"/>
      <c r="F48" s="142">
        <f>D48*ROUND(E48,2)</f>
        <v>0</v>
      </c>
    </row>
    <row r="49" spans="1:6" s="139" customFormat="1">
      <c r="A49" s="9"/>
      <c r="B49" s="154" t="s">
        <v>72</v>
      </c>
      <c r="C49" s="14"/>
      <c r="D49" s="15"/>
      <c r="E49" s="214"/>
      <c r="F49" s="8">
        <f>SUM(F44,F48)</f>
        <v>0</v>
      </c>
    </row>
    <row r="50" spans="1:6" s="139" customFormat="1">
      <c r="A50" s="9"/>
      <c r="B50" s="12"/>
      <c r="C50" s="14"/>
      <c r="D50" s="15"/>
      <c r="E50" s="214"/>
      <c r="F50" s="8"/>
    </row>
    <row r="51" spans="1:6" s="139" customFormat="1">
      <c r="A51" s="244" t="s">
        <v>20</v>
      </c>
      <c r="B51" s="244"/>
      <c r="C51" s="244"/>
      <c r="D51" s="244"/>
      <c r="E51" s="214"/>
      <c r="F51" s="8"/>
    </row>
    <row r="52" spans="1:6" s="139" customFormat="1">
      <c r="A52" s="96"/>
      <c r="B52" s="96"/>
      <c r="C52" s="96"/>
      <c r="D52" s="59"/>
      <c r="E52" s="214"/>
      <c r="F52" s="8"/>
    </row>
    <row r="53" spans="1:6" s="139" customFormat="1" ht="52.8">
      <c r="A53" s="11" t="s">
        <v>21</v>
      </c>
      <c r="B53" s="30" t="s">
        <v>55</v>
      </c>
      <c r="C53" s="96"/>
      <c r="D53" s="59"/>
      <c r="E53" s="214"/>
      <c r="F53" s="8"/>
    </row>
    <row r="54" spans="1:6" s="139" customFormat="1">
      <c r="A54" s="9"/>
      <c r="B54" s="13" t="s">
        <v>165</v>
      </c>
      <c r="C54" s="14">
        <f>20*100</f>
        <v>2000</v>
      </c>
      <c r="D54" s="15"/>
      <c r="E54" s="214"/>
      <c r="F54" s="8"/>
    </row>
    <row r="55" spans="1:6" s="139" customFormat="1">
      <c r="A55" s="9"/>
      <c r="B55" s="12" t="s">
        <v>9</v>
      </c>
      <c r="C55" s="14"/>
      <c r="D55" s="15">
        <f>C54</f>
        <v>2000</v>
      </c>
      <c r="E55" s="217"/>
      <c r="F55" s="147">
        <f>D55*ROUND(E55,2)</f>
        <v>0</v>
      </c>
    </row>
    <row r="56" spans="1:6" s="139" customFormat="1">
      <c r="A56" s="11"/>
      <c r="B56" s="25"/>
      <c r="C56" s="96"/>
      <c r="D56" s="59"/>
      <c r="E56" s="228"/>
      <c r="F56" s="8"/>
    </row>
    <row r="57" spans="1:6" s="139" customFormat="1" ht="66">
      <c r="A57" s="11" t="s">
        <v>22</v>
      </c>
      <c r="B57" s="25" t="s">
        <v>111</v>
      </c>
      <c r="C57" s="96"/>
      <c r="D57" s="59"/>
      <c r="E57" s="228"/>
      <c r="F57" s="8"/>
    </row>
    <row r="58" spans="1:6" s="139" customFormat="1">
      <c r="A58" s="96"/>
      <c r="B58" s="13" t="s">
        <v>164</v>
      </c>
      <c r="C58" s="14">
        <f>0.08*20*100</f>
        <v>160</v>
      </c>
      <c r="D58" s="15"/>
      <c r="E58" s="228"/>
      <c r="F58" s="8"/>
    </row>
    <row r="59" spans="1:6">
      <c r="A59" s="9"/>
      <c r="B59" s="12" t="s">
        <v>13</v>
      </c>
      <c r="C59" s="14"/>
      <c r="D59" s="15">
        <f>C58</f>
        <v>160</v>
      </c>
      <c r="E59" s="214"/>
      <c r="F59" s="147">
        <f>D59*ROUND(E59,2)</f>
        <v>0</v>
      </c>
    </row>
    <row r="60" spans="1:6">
      <c r="A60" s="9"/>
      <c r="B60" s="12"/>
      <c r="C60" s="14"/>
      <c r="D60" s="15"/>
      <c r="E60" s="229"/>
    </row>
    <row r="61" spans="1:6" ht="52.8">
      <c r="A61" s="11" t="s">
        <v>23</v>
      </c>
      <c r="B61" s="25" t="s">
        <v>112</v>
      </c>
      <c r="C61" s="96"/>
      <c r="D61" s="59"/>
      <c r="E61" s="229"/>
    </row>
    <row r="62" spans="1:6">
      <c r="A62" s="96"/>
      <c r="B62" s="13" t="s">
        <v>163</v>
      </c>
      <c r="C62" s="14">
        <f>0.3*20*100</f>
        <v>600</v>
      </c>
      <c r="D62" s="15"/>
      <c r="E62" s="229"/>
    </row>
    <row r="63" spans="1:6">
      <c r="A63" s="9"/>
      <c r="B63" s="12" t="s">
        <v>13</v>
      </c>
      <c r="C63" s="14"/>
      <c r="D63" s="15">
        <f>C62</f>
        <v>600</v>
      </c>
      <c r="E63" s="214"/>
      <c r="F63" s="147">
        <f>D63*ROUND(E63,2)</f>
        <v>0</v>
      </c>
    </row>
    <row r="64" spans="1:6">
      <c r="A64" s="9"/>
      <c r="B64" s="12"/>
      <c r="C64" s="14"/>
      <c r="D64" s="15"/>
      <c r="E64" s="229"/>
    </row>
    <row r="65" spans="1:6" ht="39.6">
      <c r="A65" s="11" t="s">
        <v>24</v>
      </c>
      <c r="B65" s="25" t="s">
        <v>26</v>
      </c>
      <c r="C65" s="14"/>
      <c r="D65" s="15"/>
      <c r="E65" s="229"/>
    </row>
    <row r="66" spans="1:6">
      <c r="A66" s="9"/>
      <c r="B66" s="13">
        <v>6280</v>
      </c>
      <c r="C66" s="14">
        <v>6280</v>
      </c>
      <c r="D66" s="15"/>
      <c r="E66" s="229"/>
    </row>
    <row r="67" spans="1:6">
      <c r="A67" s="9"/>
      <c r="B67" s="12" t="s">
        <v>25</v>
      </c>
      <c r="C67" s="14"/>
      <c r="D67" s="15">
        <f>C66</f>
        <v>6280</v>
      </c>
      <c r="E67" s="214"/>
      <c r="F67" s="147">
        <f>D67*ROUND(E67,2)</f>
        <v>0</v>
      </c>
    </row>
    <row r="68" spans="1:6">
      <c r="A68" s="9"/>
      <c r="B68" s="12"/>
      <c r="C68" s="14"/>
      <c r="D68" s="15"/>
      <c r="E68" s="229"/>
    </row>
    <row r="69" spans="1:6" ht="39.6">
      <c r="A69" s="11" t="s">
        <v>27</v>
      </c>
      <c r="B69" s="25" t="s">
        <v>28</v>
      </c>
      <c r="C69" s="14"/>
      <c r="D69" s="15"/>
      <c r="E69" s="229"/>
    </row>
    <row r="70" spans="1:6">
      <c r="A70" s="9"/>
      <c r="B70" s="13">
        <v>21360</v>
      </c>
      <c r="C70" s="14">
        <v>21360</v>
      </c>
      <c r="D70" s="15"/>
      <c r="E70" s="229"/>
    </row>
    <row r="71" spans="1:6">
      <c r="A71" s="9"/>
      <c r="B71" s="12" t="s">
        <v>25</v>
      </c>
      <c r="C71" s="14"/>
      <c r="D71" s="15">
        <f>C70</f>
        <v>21360</v>
      </c>
      <c r="E71" s="214"/>
      <c r="F71" s="147">
        <f>D71*ROUND(E71,2)</f>
        <v>0</v>
      </c>
    </row>
    <row r="72" spans="1:6">
      <c r="A72" s="9"/>
      <c r="B72" s="12"/>
      <c r="C72" s="32"/>
      <c r="D72" s="15"/>
      <c r="E72" s="229"/>
      <c r="F72" s="8"/>
    </row>
    <row r="73" spans="1:6">
      <c r="A73" s="9"/>
      <c r="B73" s="12"/>
      <c r="C73" s="32"/>
      <c r="D73" s="15"/>
      <c r="E73" s="229"/>
      <c r="F73" s="8"/>
    </row>
    <row r="74" spans="1:6" ht="52.8">
      <c r="A74" s="11" t="s">
        <v>30</v>
      </c>
      <c r="B74" s="25" t="s">
        <v>162</v>
      </c>
      <c r="C74" s="14"/>
      <c r="D74" s="15"/>
      <c r="E74" s="229"/>
    </row>
    <row r="75" spans="1:6">
      <c r="A75" s="9"/>
      <c r="B75" s="13" t="s">
        <v>160</v>
      </c>
      <c r="C75" s="14">
        <v>272.8</v>
      </c>
      <c r="D75" s="15"/>
      <c r="E75" s="229"/>
    </row>
    <row r="76" spans="1:6">
      <c r="A76" s="9"/>
      <c r="B76" s="13" t="s">
        <v>58</v>
      </c>
      <c r="C76" s="14">
        <v>5.99</v>
      </c>
      <c r="D76" s="15"/>
      <c r="E76" s="229"/>
    </row>
    <row r="77" spans="1:6">
      <c r="A77" s="9"/>
      <c r="B77" s="12" t="s">
        <v>25</v>
      </c>
      <c r="C77" s="14"/>
      <c r="D77" s="15">
        <f>SUM(C75:C76)</f>
        <v>278.79000000000002</v>
      </c>
      <c r="E77" s="217"/>
      <c r="F77" s="147">
        <f>D77*ROUND(E77,2)</f>
        <v>0</v>
      </c>
    </row>
    <row r="78" spans="1:6">
      <c r="A78" s="9"/>
      <c r="B78" s="12"/>
      <c r="C78" s="32"/>
      <c r="D78" s="15"/>
      <c r="E78" s="229"/>
      <c r="F78" s="8"/>
    </row>
    <row r="79" spans="1:6" ht="52.8">
      <c r="A79" s="11" t="s">
        <v>31</v>
      </c>
      <c r="B79" s="25" t="s">
        <v>161</v>
      </c>
      <c r="C79" s="32"/>
      <c r="D79" s="15"/>
      <c r="E79" s="229"/>
    </row>
    <row r="80" spans="1:6">
      <c r="A80" s="11"/>
      <c r="B80" s="13" t="s">
        <v>160</v>
      </c>
      <c r="C80" s="14">
        <v>4722.24</v>
      </c>
      <c r="D80" s="15"/>
      <c r="E80" s="229"/>
    </row>
    <row r="81" spans="1:8">
      <c r="A81" s="9"/>
      <c r="B81" s="13" t="s">
        <v>58</v>
      </c>
      <c r="C81" s="14">
        <v>107.65</v>
      </c>
      <c r="D81" s="15"/>
      <c r="E81" s="229"/>
    </row>
    <row r="82" spans="1:8">
      <c r="A82" s="9"/>
      <c r="B82" s="12" t="s">
        <v>25</v>
      </c>
      <c r="C82" s="14"/>
      <c r="D82" s="15">
        <f>SUM(C80:C81)</f>
        <v>4829.8899999999994</v>
      </c>
      <c r="E82" s="217"/>
      <c r="F82" s="147">
        <f>D82*ROUND(E82,2)</f>
        <v>0</v>
      </c>
    </row>
    <row r="83" spans="1:8">
      <c r="A83" s="9"/>
      <c r="B83" s="12"/>
      <c r="C83" s="14"/>
      <c r="D83" s="15"/>
      <c r="E83" s="229"/>
    </row>
    <row r="84" spans="1:8" ht="39.6">
      <c r="A84" s="11" t="s">
        <v>32</v>
      </c>
      <c r="B84" s="25" t="s">
        <v>29</v>
      </c>
      <c r="C84" s="14"/>
      <c r="D84" s="15"/>
      <c r="E84" s="229"/>
    </row>
    <row r="85" spans="1:8">
      <c r="A85" s="9"/>
      <c r="B85" s="13">
        <v>27560</v>
      </c>
      <c r="C85" s="14">
        <v>27560</v>
      </c>
      <c r="D85" s="15"/>
      <c r="E85" s="229"/>
    </row>
    <row r="86" spans="1:8">
      <c r="A86" s="9"/>
      <c r="B86" s="12" t="s">
        <v>25</v>
      </c>
      <c r="C86" s="14"/>
      <c r="D86" s="15">
        <f>C85</f>
        <v>27560</v>
      </c>
      <c r="E86" s="214"/>
      <c r="F86" s="147">
        <f>D86*ROUND(E86,2)</f>
        <v>0</v>
      </c>
    </row>
    <row r="87" spans="1:8">
      <c r="A87" s="9"/>
      <c r="B87" s="12"/>
      <c r="C87" s="14"/>
      <c r="D87" s="15"/>
      <c r="E87" s="229"/>
    </row>
    <row r="88" spans="1:8" ht="76.5" customHeight="1">
      <c r="A88" s="11" t="s">
        <v>42</v>
      </c>
      <c r="B88" s="25" t="s">
        <v>159</v>
      </c>
      <c r="C88" s="14"/>
      <c r="D88" s="15"/>
      <c r="E88" s="229"/>
    </row>
    <row r="89" spans="1:8">
      <c r="A89" s="9"/>
      <c r="B89" s="13" t="s">
        <v>54</v>
      </c>
      <c r="C89" s="14">
        <v>1512</v>
      </c>
      <c r="D89" s="15"/>
      <c r="E89" s="229"/>
    </row>
    <row r="90" spans="1:8">
      <c r="A90" s="9"/>
      <c r="B90" s="12" t="s">
        <v>4</v>
      </c>
      <c r="C90" s="14"/>
      <c r="D90" s="15">
        <f>C89</f>
        <v>1512</v>
      </c>
      <c r="E90" s="217"/>
      <c r="F90" s="147">
        <f>D90*ROUND(E90,2)</f>
        <v>0</v>
      </c>
    </row>
    <row r="91" spans="1:8">
      <c r="A91" s="9"/>
      <c r="B91" s="12"/>
      <c r="C91" s="14"/>
      <c r="D91" s="15"/>
      <c r="E91" s="229"/>
    </row>
    <row r="92" spans="1:8" ht="92.4">
      <c r="A92" s="11" t="s">
        <v>52</v>
      </c>
      <c r="B92" s="25" t="s">
        <v>158</v>
      </c>
      <c r="C92" s="14"/>
      <c r="D92" s="15"/>
      <c r="E92" s="229"/>
    </row>
    <row r="93" spans="1:8">
      <c r="A93" s="9"/>
      <c r="B93" s="13" t="s">
        <v>157</v>
      </c>
      <c r="C93" s="14">
        <v>748</v>
      </c>
      <c r="D93" s="15"/>
      <c r="E93" s="229"/>
    </row>
    <row r="94" spans="1:8">
      <c r="A94" s="9"/>
      <c r="B94" s="12" t="s">
        <v>4</v>
      </c>
      <c r="C94" s="14"/>
      <c r="D94" s="15">
        <f>C93</f>
        <v>748</v>
      </c>
      <c r="E94" s="217"/>
      <c r="F94" s="147">
        <f>D94*ROUND(E94,2)</f>
        <v>0</v>
      </c>
    </row>
    <row r="95" spans="1:8">
      <c r="A95" s="9"/>
      <c r="B95" s="12"/>
      <c r="C95" s="14"/>
      <c r="D95" s="15"/>
      <c r="E95" s="228"/>
    </row>
    <row r="96" spans="1:8" s="146" customFormat="1" ht="89.25" customHeight="1">
      <c r="A96" s="33" t="s">
        <v>115</v>
      </c>
      <c r="B96" s="34" t="s">
        <v>156</v>
      </c>
      <c r="C96" s="14"/>
      <c r="D96" s="15"/>
      <c r="E96" s="223"/>
      <c r="F96" s="35"/>
      <c r="G96" s="139"/>
      <c r="H96" s="139"/>
    </row>
    <row r="97" spans="1:6">
      <c r="A97" s="9"/>
      <c r="B97" s="13" t="s">
        <v>155</v>
      </c>
      <c r="C97" s="14">
        <v>100</v>
      </c>
      <c r="D97" s="15"/>
      <c r="E97" s="228"/>
    </row>
    <row r="98" spans="1:6">
      <c r="A98" s="9"/>
      <c r="B98" s="12" t="s">
        <v>19</v>
      </c>
      <c r="C98" s="14"/>
      <c r="D98" s="15">
        <f>C97</f>
        <v>100</v>
      </c>
      <c r="E98" s="217"/>
      <c r="F98" s="147">
        <f>D98*ROUND(E98,2)</f>
        <v>0</v>
      </c>
    </row>
    <row r="99" spans="1:6">
      <c r="A99" s="9"/>
      <c r="B99" s="12"/>
      <c r="C99" s="14"/>
      <c r="D99" s="15"/>
      <c r="E99" s="218"/>
    </row>
    <row r="100" spans="1:6">
      <c r="A100" s="9" t="s">
        <v>154</v>
      </c>
      <c r="B100" s="12"/>
      <c r="C100" s="14"/>
      <c r="D100" s="15"/>
      <c r="E100" s="217"/>
      <c r="F100" s="8"/>
    </row>
    <row r="101" spans="1:6" ht="39.6">
      <c r="A101" s="9"/>
      <c r="B101" s="36" t="s">
        <v>153</v>
      </c>
      <c r="C101" s="14"/>
      <c r="D101" s="15"/>
      <c r="E101" s="217"/>
      <c r="F101" s="8"/>
    </row>
    <row r="102" spans="1:6">
      <c r="A102" s="9"/>
      <c r="B102" s="13" t="s">
        <v>152</v>
      </c>
      <c r="C102" s="14">
        <f>1*20</f>
        <v>20</v>
      </c>
      <c r="D102" s="15"/>
      <c r="E102" s="217"/>
      <c r="F102" s="8"/>
    </row>
    <row r="103" spans="1:6">
      <c r="A103" s="16"/>
      <c r="B103" s="17" t="s">
        <v>19</v>
      </c>
      <c r="C103" s="18"/>
      <c r="D103" s="51">
        <f>C102</f>
        <v>20</v>
      </c>
      <c r="E103" s="216"/>
      <c r="F103" s="142">
        <f>D103*ROUND(E103,2)</f>
        <v>0</v>
      </c>
    </row>
    <row r="104" spans="1:6" s="139" customFormat="1" ht="14.25" customHeight="1">
      <c r="A104" s="9"/>
      <c r="B104" s="154" t="s">
        <v>71</v>
      </c>
      <c r="C104" s="14"/>
      <c r="D104" s="15"/>
      <c r="E104" s="214"/>
      <c r="F104" s="8">
        <f>SUM(F55,F59,F63,F67,F71,F77,F82,F86,F90,F94,F98,F103)</f>
        <v>0</v>
      </c>
    </row>
    <row r="105" spans="1:6" s="139" customFormat="1">
      <c r="A105" s="9"/>
      <c r="B105" s="154"/>
      <c r="C105" s="14"/>
      <c r="D105" s="15"/>
      <c r="E105" s="214"/>
      <c r="F105" s="8"/>
    </row>
    <row r="106" spans="1:6">
      <c r="A106" s="96" t="s">
        <v>33</v>
      </c>
      <c r="B106" s="96"/>
      <c r="C106" s="96"/>
      <c r="D106" s="59"/>
      <c r="E106" s="218"/>
    </row>
    <row r="107" spans="1:6">
      <c r="A107" s="96"/>
      <c r="B107" s="96"/>
      <c r="C107" s="96"/>
      <c r="D107" s="59"/>
      <c r="E107" s="218"/>
    </row>
    <row r="108" spans="1:6" ht="39.6">
      <c r="A108" s="11" t="s">
        <v>34</v>
      </c>
      <c r="B108" s="39" t="s">
        <v>41</v>
      </c>
      <c r="C108" s="12"/>
      <c r="D108" s="37"/>
      <c r="E108" s="220"/>
    </row>
    <row r="109" spans="1:6">
      <c r="A109" s="9"/>
      <c r="B109" s="13" t="s">
        <v>151</v>
      </c>
      <c r="C109" s="14">
        <f>1*90 + 11*4.3</f>
        <v>137.30000000000001</v>
      </c>
      <c r="D109" s="15"/>
      <c r="E109" s="220"/>
    </row>
    <row r="110" spans="1:6">
      <c r="A110" s="9"/>
      <c r="B110" s="12" t="s">
        <v>19</v>
      </c>
      <c r="C110" s="14"/>
      <c r="D110" s="15">
        <f>C109</f>
        <v>137.30000000000001</v>
      </c>
      <c r="E110" s="217"/>
      <c r="F110" s="147">
        <f>D110*ROUND(E110,2)</f>
        <v>0</v>
      </c>
    </row>
    <row r="111" spans="1:6">
      <c r="A111" s="9"/>
      <c r="B111" s="12"/>
      <c r="C111" s="14"/>
      <c r="D111" s="15"/>
      <c r="E111" s="220"/>
    </row>
    <row r="112" spans="1:6">
      <c r="A112" s="9"/>
      <c r="B112" s="12"/>
      <c r="C112" s="14"/>
      <c r="D112" s="15"/>
      <c r="E112" s="220"/>
    </row>
    <row r="113" spans="1:6" ht="76.5" customHeight="1">
      <c r="A113" s="11" t="s">
        <v>35</v>
      </c>
      <c r="B113" s="39" t="s">
        <v>193</v>
      </c>
      <c r="C113" s="12"/>
      <c r="D113" s="37"/>
      <c r="E113" s="220"/>
    </row>
    <row r="114" spans="1:6">
      <c r="A114" s="9"/>
      <c r="B114" s="13" t="s">
        <v>144</v>
      </c>
      <c r="C114" s="14">
        <f>1*2</f>
        <v>2</v>
      </c>
      <c r="D114" s="15"/>
      <c r="E114" s="220"/>
    </row>
    <row r="115" spans="1:6">
      <c r="A115" s="9"/>
      <c r="B115" s="12" t="s">
        <v>4</v>
      </c>
      <c r="C115" s="14"/>
      <c r="D115" s="15">
        <f>C114</f>
        <v>2</v>
      </c>
      <c r="E115" s="214"/>
      <c r="F115" s="147">
        <f>D115*ROUND(E115,2)</f>
        <v>0</v>
      </c>
    </row>
    <row r="116" spans="1:6">
      <c r="A116" s="9"/>
      <c r="B116" s="12"/>
      <c r="C116" s="14"/>
      <c r="D116" s="15"/>
      <c r="E116" s="220"/>
    </row>
    <row r="117" spans="1:6" ht="76.5" customHeight="1">
      <c r="A117" s="33" t="s">
        <v>36</v>
      </c>
      <c r="B117" s="39" t="s">
        <v>194</v>
      </c>
      <c r="C117" s="12"/>
      <c r="D117" s="37"/>
      <c r="E117" s="220"/>
      <c r="F117" s="35"/>
    </row>
    <row r="118" spans="1:6">
      <c r="A118" s="40"/>
      <c r="B118" s="13" t="s">
        <v>192</v>
      </c>
      <c r="C118" s="14">
        <f>1*5</f>
        <v>5</v>
      </c>
      <c r="D118" s="15"/>
      <c r="E118" s="220"/>
      <c r="F118" s="35"/>
    </row>
    <row r="119" spans="1:6">
      <c r="A119" s="40"/>
      <c r="B119" s="12" t="s">
        <v>4</v>
      </c>
      <c r="C119" s="14"/>
      <c r="D119" s="15">
        <f>C118</f>
        <v>5</v>
      </c>
      <c r="E119" s="217"/>
      <c r="F119" s="50">
        <f>D119*ROUND(E119,2)</f>
        <v>0</v>
      </c>
    </row>
    <row r="120" spans="1:6">
      <c r="A120" s="40"/>
      <c r="B120" s="12"/>
      <c r="C120" s="14"/>
      <c r="D120" s="15"/>
      <c r="E120" s="220"/>
      <c r="F120" s="35"/>
    </row>
    <row r="121" spans="1:6" ht="52.8">
      <c r="A121" s="33" t="s">
        <v>37</v>
      </c>
      <c r="B121" s="39" t="s">
        <v>195</v>
      </c>
      <c r="C121" s="39"/>
      <c r="D121" s="60"/>
      <c r="E121" s="230"/>
      <c r="F121" s="35"/>
    </row>
    <row r="122" spans="1:6">
      <c r="A122" s="40"/>
      <c r="B122" s="13" t="s">
        <v>192</v>
      </c>
      <c r="C122" s="14">
        <f>1*5</f>
        <v>5</v>
      </c>
      <c r="D122" s="15"/>
      <c r="E122" s="230"/>
      <c r="F122" s="35"/>
    </row>
    <row r="123" spans="1:6">
      <c r="A123" s="40"/>
      <c r="B123" s="12" t="s">
        <v>4</v>
      </c>
      <c r="C123" s="14"/>
      <c r="D123" s="15">
        <f>C122</f>
        <v>5</v>
      </c>
      <c r="E123" s="217"/>
      <c r="F123" s="50">
        <f>D123*ROUND(E123,2)</f>
        <v>0</v>
      </c>
    </row>
    <row r="124" spans="1:6">
      <c r="A124" s="40"/>
      <c r="B124" s="12"/>
      <c r="C124" s="14"/>
      <c r="D124" s="15"/>
      <c r="E124" s="220"/>
      <c r="F124" s="24"/>
    </row>
    <row r="125" spans="1:6" ht="39.6">
      <c r="A125" s="156" t="s">
        <v>61</v>
      </c>
      <c r="B125" s="12" t="s">
        <v>196</v>
      </c>
      <c r="C125" s="14"/>
      <c r="D125" s="15"/>
      <c r="E125" s="220"/>
      <c r="F125" s="8"/>
    </row>
    <row r="126" spans="1:6">
      <c r="A126" s="9"/>
      <c r="B126" s="12"/>
      <c r="C126" s="14">
        <v>1</v>
      </c>
      <c r="D126" s="15"/>
      <c r="E126" s="220"/>
      <c r="F126" s="8"/>
    </row>
    <row r="127" spans="1:6">
      <c r="A127" s="87"/>
      <c r="B127" s="25" t="s">
        <v>4</v>
      </c>
      <c r="C127" s="48"/>
      <c r="D127" s="49">
        <f>C126</f>
        <v>1</v>
      </c>
      <c r="E127" s="231"/>
      <c r="F127" s="147">
        <f>D127*ROUND(E127,2)</f>
        <v>0</v>
      </c>
    </row>
    <row r="128" spans="1:6">
      <c r="A128" s="87"/>
      <c r="B128" s="25"/>
      <c r="C128" s="48"/>
      <c r="D128" s="49"/>
      <c r="E128" s="231"/>
      <c r="F128" s="147"/>
    </row>
    <row r="129" spans="1:8" ht="63.75" customHeight="1">
      <c r="A129" s="46" t="s">
        <v>191</v>
      </c>
      <c r="B129" s="240" t="s">
        <v>197</v>
      </c>
      <c r="C129" s="48"/>
      <c r="D129" s="49"/>
      <c r="E129" s="231"/>
      <c r="F129" s="50"/>
    </row>
    <row r="130" spans="1:8">
      <c r="A130" s="40"/>
      <c r="B130" s="13" t="s">
        <v>146</v>
      </c>
      <c r="C130" s="14">
        <f>1*6</f>
        <v>6</v>
      </c>
      <c r="D130" s="15"/>
      <c r="E130" s="221"/>
      <c r="F130" s="35"/>
    </row>
    <row r="131" spans="1:8">
      <c r="A131" s="41"/>
      <c r="B131" s="17" t="s">
        <v>4</v>
      </c>
      <c r="C131" s="18"/>
      <c r="D131" s="51">
        <f>C130</f>
        <v>6</v>
      </c>
      <c r="E131" s="225"/>
      <c r="F131" s="23">
        <f>D131*ROUND(E131,2)</f>
        <v>0</v>
      </c>
    </row>
    <row r="132" spans="1:8" s="139" customFormat="1">
      <c r="A132" s="40"/>
      <c r="B132" s="154" t="s">
        <v>70</v>
      </c>
      <c r="C132" s="14"/>
      <c r="D132" s="15"/>
      <c r="E132" s="217"/>
      <c r="F132" s="24">
        <f>SUM(F110,F115,F119,F123,F127,F131)</f>
        <v>0</v>
      </c>
    </row>
    <row r="133" spans="1:8">
      <c r="A133" s="9"/>
      <c r="B133" s="12"/>
      <c r="C133" s="14"/>
      <c r="D133" s="15"/>
      <c r="E133" s="220"/>
    </row>
    <row r="134" spans="1:8">
      <c r="A134" s="96" t="s">
        <v>38</v>
      </c>
      <c r="B134" s="96"/>
      <c r="C134" s="96"/>
      <c r="D134" s="59"/>
      <c r="E134" s="220"/>
    </row>
    <row r="135" spans="1:8">
      <c r="A135" s="96"/>
      <c r="B135" s="96"/>
      <c r="C135" s="96"/>
      <c r="D135" s="59"/>
      <c r="E135" s="220"/>
    </row>
    <row r="136" spans="1:8" s="146" customFormat="1" ht="79.2">
      <c r="A136" s="33" t="s">
        <v>39</v>
      </c>
      <c r="B136" s="39" t="s">
        <v>149</v>
      </c>
      <c r="C136" s="14"/>
      <c r="D136" s="15"/>
      <c r="E136" s="220"/>
      <c r="F136" s="35"/>
      <c r="G136" s="139"/>
      <c r="H136" s="139"/>
    </row>
    <row r="137" spans="1:8" s="146" customFormat="1">
      <c r="A137" s="40"/>
      <c r="B137" s="13" t="s">
        <v>148</v>
      </c>
      <c r="C137" s="14">
        <f>1*100+3</f>
        <v>103</v>
      </c>
      <c r="D137" s="15"/>
      <c r="E137" s="220"/>
      <c r="F137" s="35"/>
      <c r="G137" s="139"/>
      <c r="H137" s="139"/>
    </row>
    <row r="138" spans="1:8" s="146" customFormat="1">
      <c r="A138" s="40"/>
      <c r="B138" s="12" t="s">
        <v>19</v>
      </c>
      <c r="C138" s="14"/>
      <c r="D138" s="15">
        <f>C137</f>
        <v>103</v>
      </c>
      <c r="E138" s="217"/>
      <c r="F138" s="147">
        <f>D138*ROUND(E138,2)</f>
        <v>0</v>
      </c>
      <c r="G138" s="139"/>
      <c r="H138" s="139"/>
    </row>
    <row r="139" spans="1:8" s="146" customFormat="1">
      <c r="A139" s="40"/>
      <c r="B139" s="12"/>
      <c r="C139" s="14"/>
      <c r="D139" s="15"/>
      <c r="E139" s="220"/>
      <c r="F139" s="35"/>
      <c r="G139" s="139"/>
      <c r="H139" s="139"/>
    </row>
    <row r="140" spans="1:8" s="146" customFormat="1" ht="26.4">
      <c r="A140" s="33" t="s">
        <v>40</v>
      </c>
      <c r="B140" s="39" t="s">
        <v>147</v>
      </c>
      <c r="C140" s="14"/>
      <c r="D140" s="15"/>
      <c r="E140" s="220"/>
      <c r="F140" s="35"/>
      <c r="G140" s="139"/>
      <c r="H140" s="139"/>
    </row>
    <row r="141" spans="1:8" s="146" customFormat="1">
      <c r="A141" s="40"/>
      <c r="B141" s="13" t="s">
        <v>146</v>
      </c>
      <c r="C141" s="14">
        <f>1*6</f>
        <v>6</v>
      </c>
      <c r="D141" s="15"/>
      <c r="E141" s="220"/>
      <c r="F141" s="35"/>
      <c r="G141" s="139"/>
      <c r="H141" s="139"/>
    </row>
    <row r="142" spans="1:8" s="146" customFormat="1">
      <c r="A142" s="40"/>
      <c r="B142" s="249" t="s">
        <v>277</v>
      </c>
      <c r="C142" s="14"/>
      <c r="D142" s="15">
        <f>C141</f>
        <v>6</v>
      </c>
      <c r="E142" s="214"/>
      <c r="F142" s="147">
        <f>D142*ROUND(E142,2)</f>
        <v>0</v>
      </c>
      <c r="G142" s="139"/>
      <c r="H142" s="139"/>
    </row>
    <row r="143" spans="1:8" s="146" customFormat="1">
      <c r="A143" s="40"/>
      <c r="B143" s="12"/>
      <c r="C143" s="14"/>
      <c r="D143" s="15"/>
      <c r="E143" s="220"/>
      <c r="F143" s="35"/>
      <c r="G143" s="139"/>
      <c r="H143" s="139"/>
    </row>
    <row r="144" spans="1:8" s="146" customFormat="1" ht="26.4">
      <c r="A144" s="33" t="s">
        <v>77</v>
      </c>
      <c r="B144" s="39" t="s">
        <v>145</v>
      </c>
      <c r="C144" s="14"/>
      <c r="D144" s="15"/>
      <c r="E144" s="220"/>
      <c r="F144" s="35"/>
      <c r="G144" s="139"/>
      <c r="H144" s="139"/>
    </row>
    <row r="145" spans="1:8" s="146" customFormat="1">
      <c r="A145" s="40"/>
      <c r="B145" s="13" t="s">
        <v>144</v>
      </c>
      <c r="C145" s="14">
        <f>1*2</f>
        <v>2</v>
      </c>
      <c r="D145" s="15"/>
      <c r="E145" s="220"/>
      <c r="F145" s="35"/>
      <c r="G145" s="139"/>
      <c r="H145" s="139"/>
    </row>
    <row r="146" spans="1:8" s="146" customFormat="1">
      <c r="A146" s="40"/>
      <c r="B146" s="12" t="s">
        <v>4</v>
      </c>
      <c r="C146" s="14"/>
      <c r="D146" s="15">
        <f>C145</f>
        <v>2</v>
      </c>
      <c r="E146" s="217"/>
      <c r="F146" s="147">
        <f>D146*ROUND(E146,2)</f>
        <v>0</v>
      </c>
      <c r="G146" s="139"/>
      <c r="H146" s="139"/>
    </row>
    <row r="147" spans="1:8" s="146" customFormat="1">
      <c r="A147" s="40"/>
      <c r="B147" s="12"/>
      <c r="C147" s="14"/>
      <c r="D147" s="15"/>
      <c r="E147" s="217"/>
      <c r="F147" s="24"/>
      <c r="G147" s="139"/>
      <c r="H147" s="139"/>
    </row>
    <row r="148" spans="1:8" s="146" customFormat="1">
      <c r="A148" s="33" t="s">
        <v>79</v>
      </c>
      <c r="B148" s="39" t="s">
        <v>81</v>
      </c>
      <c r="C148" s="14"/>
      <c r="D148" s="15"/>
      <c r="E148" s="220"/>
      <c r="F148" s="35"/>
      <c r="G148" s="139"/>
      <c r="H148" s="139"/>
    </row>
    <row r="149" spans="1:8" s="146" customFormat="1">
      <c r="A149" s="40"/>
      <c r="B149" s="13" t="s">
        <v>143</v>
      </c>
      <c r="C149" s="14">
        <f>2*4</f>
        <v>8</v>
      </c>
      <c r="D149" s="15"/>
      <c r="E149" s="220"/>
      <c r="F149" s="35"/>
      <c r="G149" s="139"/>
      <c r="H149" s="139"/>
    </row>
    <row r="150" spans="1:8">
      <c r="A150" s="41"/>
      <c r="B150" s="17" t="s">
        <v>4</v>
      </c>
      <c r="C150" s="18"/>
      <c r="D150" s="51">
        <f>C149</f>
        <v>8</v>
      </c>
      <c r="E150" s="216"/>
      <c r="F150" s="142">
        <f>D150*ROUND(E150,2)</f>
        <v>0</v>
      </c>
    </row>
    <row r="151" spans="1:8">
      <c r="A151" s="9"/>
      <c r="B151" s="154" t="s">
        <v>69</v>
      </c>
      <c r="C151" s="14"/>
      <c r="D151" s="15"/>
      <c r="E151" s="220"/>
      <c r="F151" s="8">
        <f>SUM(F138,F142,F146,F150)</f>
        <v>0</v>
      </c>
    </row>
    <row r="152" spans="1:8">
      <c r="A152" s="9"/>
      <c r="B152" s="154"/>
      <c r="C152" s="14"/>
      <c r="D152" s="15"/>
      <c r="E152" s="220"/>
      <c r="F152" s="8"/>
    </row>
    <row r="153" spans="1:8">
      <c r="A153" s="244" t="s">
        <v>82</v>
      </c>
      <c r="B153" s="244"/>
      <c r="C153" s="244"/>
      <c r="D153" s="244"/>
      <c r="E153" s="221"/>
    </row>
    <row r="154" spans="1:8">
      <c r="A154" s="9"/>
      <c r="B154" s="19"/>
      <c r="C154" s="14"/>
      <c r="D154" s="15"/>
      <c r="E154" s="220"/>
      <c r="F154" s="8"/>
    </row>
    <row r="155" spans="1:8">
      <c r="A155" s="33"/>
      <c r="B155" s="42" t="s">
        <v>83</v>
      </c>
      <c r="C155" s="14"/>
      <c r="D155" s="15"/>
      <c r="E155" s="217"/>
      <c r="F155" s="35"/>
    </row>
    <row r="156" spans="1:8">
      <c r="A156" s="33"/>
      <c r="B156" s="12"/>
      <c r="C156" s="14"/>
      <c r="D156" s="15"/>
      <c r="E156" s="217"/>
      <c r="F156" s="35"/>
    </row>
    <row r="157" spans="1:8">
      <c r="A157" s="33" t="s">
        <v>99</v>
      </c>
      <c r="B157" s="43" t="s">
        <v>84</v>
      </c>
      <c r="C157" s="14"/>
      <c r="D157" s="15"/>
      <c r="E157" s="217"/>
      <c r="F157" s="35"/>
    </row>
    <row r="158" spans="1:8">
      <c r="A158" s="33"/>
      <c r="B158" s="13"/>
      <c r="C158" s="14">
        <v>1</v>
      </c>
      <c r="D158" s="15"/>
      <c r="E158" s="217"/>
      <c r="F158" s="35"/>
    </row>
    <row r="159" spans="1:8">
      <c r="A159" s="33"/>
      <c r="B159" s="43" t="s">
        <v>4</v>
      </c>
      <c r="C159" s="14"/>
      <c r="D159" s="15">
        <v>1</v>
      </c>
      <c r="E159" s="217"/>
      <c r="F159" s="147">
        <f>D159*ROUND(E159,2)</f>
        <v>0</v>
      </c>
    </row>
    <row r="160" spans="1:8">
      <c r="A160" s="33"/>
      <c r="B160" s="13"/>
      <c r="C160" s="14"/>
      <c r="D160" s="15"/>
      <c r="E160" s="217"/>
      <c r="F160" s="35"/>
    </row>
    <row r="161" spans="1:6" ht="75.75" customHeight="1">
      <c r="A161" s="33" t="s">
        <v>100</v>
      </c>
      <c r="B161" s="30" t="s">
        <v>142</v>
      </c>
      <c r="C161" s="14"/>
      <c r="D161" s="15"/>
      <c r="E161" s="217"/>
      <c r="F161" s="35"/>
    </row>
    <row r="162" spans="1:6">
      <c r="A162" s="33"/>
      <c r="B162" s="13" t="s">
        <v>136</v>
      </c>
      <c r="C162" s="13">
        <f>0.5*0.96</f>
        <v>0.48</v>
      </c>
      <c r="D162" s="15"/>
      <c r="E162" s="217"/>
      <c r="F162" s="35"/>
    </row>
    <row r="163" spans="1:6">
      <c r="A163" s="33"/>
      <c r="B163" s="12" t="s">
        <v>13</v>
      </c>
      <c r="C163" s="14"/>
      <c r="D163" s="15">
        <v>0.5</v>
      </c>
      <c r="E163" s="217"/>
      <c r="F163" s="147">
        <f>D163*ROUND(E163,2)</f>
        <v>0</v>
      </c>
    </row>
    <row r="164" spans="1:6">
      <c r="A164" s="33"/>
      <c r="B164" s="13"/>
      <c r="C164" s="14"/>
      <c r="D164" s="15"/>
      <c r="E164" s="217"/>
      <c r="F164" s="35"/>
    </row>
    <row r="165" spans="1:6" ht="79.2">
      <c r="A165" s="33" t="s">
        <v>101</v>
      </c>
      <c r="B165" s="30" t="s">
        <v>141</v>
      </c>
      <c r="C165" s="14"/>
      <c r="D165" s="15"/>
      <c r="E165" s="217"/>
      <c r="F165" s="35"/>
    </row>
    <row r="166" spans="1:6">
      <c r="A166" s="33"/>
      <c r="B166" s="13" t="s">
        <v>140</v>
      </c>
      <c r="C166" s="13">
        <f>0.85*14</f>
        <v>11.9</v>
      </c>
      <c r="D166" s="15"/>
      <c r="E166" s="217"/>
      <c r="F166" s="35"/>
    </row>
    <row r="167" spans="1:6">
      <c r="A167" s="33"/>
      <c r="B167" s="43" t="s">
        <v>63</v>
      </c>
      <c r="C167" s="14"/>
      <c r="D167" s="15">
        <v>12</v>
      </c>
      <c r="E167" s="217"/>
      <c r="F167" s="147">
        <f>D167*ROUND(E167,2)</f>
        <v>0</v>
      </c>
    </row>
    <row r="168" spans="1:6">
      <c r="A168" s="33"/>
      <c r="B168" s="13"/>
      <c r="C168" s="14"/>
      <c r="D168" s="15"/>
      <c r="E168" s="217"/>
      <c r="F168" s="35"/>
    </row>
    <row r="169" spans="1:6" ht="32.25" customHeight="1">
      <c r="A169" s="33" t="s">
        <v>102</v>
      </c>
      <c r="B169" s="34" t="s">
        <v>139</v>
      </c>
      <c r="C169" s="14"/>
      <c r="D169" s="15"/>
      <c r="E169" s="217"/>
      <c r="F169" s="35"/>
    </row>
    <row r="170" spans="1:6">
      <c r="A170" s="33"/>
      <c r="B170" s="34"/>
      <c r="C170" s="14">
        <v>14</v>
      </c>
      <c r="D170" s="15"/>
      <c r="E170" s="217"/>
      <c r="F170" s="35"/>
    </row>
    <row r="171" spans="1:6">
      <c r="A171" s="33"/>
      <c r="B171" s="34" t="s">
        <v>4</v>
      </c>
      <c r="C171" s="14"/>
      <c r="D171" s="15">
        <v>14</v>
      </c>
      <c r="E171" s="217"/>
      <c r="F171" s="147">
        <f>D171*ROUND(E171,2)</f>
        <v>0</v>
      </c>
    </row>
    <row r="172" spans="1:6">
      <c r="A172" s="33"/>
      <c r="B172" s="13"/>
      <c r="C172" s="14"/>
      <c r="D172" s="15"/>
      <c r="E172" s="217"/>
      <c r="F172" s="35"/>
    </row>
    <row r="173" spans="1:6" ht="54.75" customHeight="1">
      <c r="A173" s="33" t="s">
        <v>103</v>
      </c>
      <c r="B173" s="34" t="s">
        <v>90</v>
      </c>
      <c r="C173" s="14"/>
      <c r="D173" s="15"/>
      <c r="E173" s="217"/>
      <c r="F173" s="35"/>
    </row>
    <row r="174" spans="1:6">
      <c r="A174" s="33"/>
      <c r="B174" s="13"/>
      <c r="C174" s="14">
        <v>14</v>
      </c>
      <c r="D174" s="15"/>
      <c r="E174" s="217"/>
      <c r="F174" s="35"/>
    </row>
    <row r="175" spans="1:6">
      <c r="A175" s="33"/>
      <c r="B175" s="34" t="s">
        <v>4</v>
      </c>
      <c r="C175" s="14"/>
      <c r="D175" s="15">
        <v>14</v>
      </c>
      <c r="E175" s="217"/>
      <c r="F175" s="147">
        <f>D175*ROUND(E175,2)</f>
        <v>0</v>
      </c>
    </row>
    <row r="176" spans="1:6">
      <c r="A176" s="33"/>
      <c r="B176" s="13"/>
      <c r="C176" s="14"/>
      <c r="D176" s="15"/>
      <c r="E176" s="217"/>
      <c r="F176" s="35"/>
    </row>
    <row r="177" spans="1:6" ht="39.6">
      <c r="A177" s="33" t="s">
        <v>104</v>
      </c>
      <c r="B177" s="30" t="s">
        <v>91</v>
      </c>
      <c r="C177" s="14"/>
      <c r="D177" s="15"/>
      <c r="E177" s="217"/>
      <c r="F177" s="35"/>
    </row>
    <row r="178" spans="1:6">
      <c r="A178" s="33"/>
      <c r="B178" s="13" t="s">
        <v>92</v>
      </c>
      <c r="C178" s="13">
        <f>0.86*12*6.471</f>
        <v>66.780720000000002</v>
      </c>
      <c r="D178" s="15"/>
      <c r="E178" s="217"/>
      <c r="F178" s="35"/>
    </row>
    <row r="179" spans="1:6">
      <c r="A179" s="33"/>
      <c r="B179" s="34" t="s">
        <v>25</v>
      </c>
      <c r="C179" s="14"/>
      <c r="D179" s="15">
        <v>66.78</v>
      </c>
      <c r="E179" s="217"/>
      <c r="F179" s="147">
        <f>D179*ROUND(E179,2)</f>
        <v>0</v>
      </c>
    </row>
    <row r="180" spans="1:6">
      <c r="A180" s="33"/>
      <c r="B180" s="13"/>
      <c r="C180" s="14"/>
      <c r="D180" s="15"/>
      <c r="E180" s="217"/>
      <c r="F180" s="35"/>
    </row>
    <row r="181" spans="1:6" ht="75.75" customHeight="1">
      <c r="A181" s="33" t="s">
        <v>105</v>
      </c>
      <c r="B181" s="44" t="s">
        <v>138</v>
      </c>
      <c r="C181" s="14"/>
      <c r="D181" s="157"/>
      <c r="E181" s="217"/>
      <c r="F181" s="35"/>
    </row>
    <row r="182" spans="1:6">
      <c r="A182" s="33"/>
      <c r="B182" s="13"/>
      <c r="C182" s="14"/>
      <c r="D182" s="15"/>
      <c r="E182" s="217"/>
      <c r="F182" s="35"/>
    </row>
    <row r="183" spans="1:6">
      <c r="A183" s="33"/>
      <c r="B183" s="34" t="s">
        <v>25</v>
      </c>
      <c r="C183" s="14"/>
      <c r="D183" s="15">
        <v>410</v>
      </c>
      <c r="E183" s="217"/>
      <c r="F183" s="147">
        <f>D183*ROUND(E183,2)</f>
        <v>0</v>
      </c>
    </row>
    <row r="184" spans="1:6">
      <c r="A184" s="33"/>
      <c r="B184" s="34"/>
      <c r="C184" s="14"/>
      <c r="D184" s="15"/>
      <c r="E184" s="217"/>
      <c r="F184" s="8"/>
    </row>
    <row r="185" spans="1:6" ht="52.8">
      <c r="A185" s="33" t="s">
        <v>106</v>
      </c>
      <c r="B185" s="44" t="s">
        <v>137</v>
      </c>
      <c r="C185" s="14"/>
      <c r="D185" s="15"/>
      <c r="E185" s="217"/>
      <c r="F185" s="35"/>
    </row>
    <row r="186" spans="1:6">
      <c r="A186" s="33"/>
      <c r="B186" s="13" t="s">
        <v>136</v>
      </c>
      <c r="C186" s="13">
        <f>0.5*0.96</f>
        <v>0.48</v>
      </c>
      <c r="D186" s="15"/>
      <c r="E186" s="217"/>
      <c r="F186" s="35"/>
    </row>
    <row r="187" spans="1:6">
      <c r="A187" s="33"/>
      <c r="B187" s="12" t="s">
        <v>13</v>
      </c>
      <c r="C187" s="14"/>
      <c r="D187" s="15">
        <v>0.5</v>
      </c>
      <c r="E187" s="217"/>
      <c r="F187" s="147">
        <f>D187*ROUND(E187,2)</f>
        <v>0</v>
      </c>
    </row>
    <row r="188" spans="1:6">
      <c r="A188" s="33"/>
      <c r="B188" s="12"/>
      <c r="C188" s="14"/>
      <c r="D188" s="15"/>
      <c r="E188" s="217"/>
      <c r="F188" s="8"/>
    </row>
    <row r="189" spans="1:6" ht="39.6">
      <c r="A189" s="33" t="s">
        <v>107</v>
      </c>
      <c r="B189" s="30" t="s">
        <v>93</v>
      </c>
      <c r="C189" s="14"/>
      <c r="D189" s="15"/>
      <c r="E189" s="217"/>
      <c r="F189" s="35"/>
    </row>
    <row r="190" spans="1:6">
      <c r="A190" s="33"/>
      <c r="B190" s="13"/>
      <c r="C190" s="14"/>
      <c r="D190" s="15"/>
      <c r="E190" s="217"/>
      <c r="F190" s="35"/>
    </row>
    <row r="191" spans="1:6">
      <c r="A191" s="33"/>
      <c r="B191" s="34" t="s">
        <v>25</v>
      </c>
      <c r="C191" s="14"/>
      <c r="D191" s="15">
        <v>360.7</v>
      </c>
      <c r="E191" s="217"/>
      <c r="F191" s="147">
        <f>D191*ROUND(E191,2)</f>
        <v>0</v>
      </c>
    </row>
    <row r="192" spans="1:6">
      <c r="A192" s="33"/>
      <c r="B192" s="13"/>
      <c r="C192" s="14"/>
      <c r="D192" s="15"/>
      <c r="E192" s="217"/>
      <c r="F192" s="35"/>
    </row>
    <row r="193" spans="1:6" ht="26.4">
      <c r="A193" s="33" t="s">
        <v>108</v>
      </c>
      <c r="B193" s="30" t="s">
        <v>94</v>
      </c>
      <c r="C193" s="14"/>
      <c r="D193" s="15"/>
      <c r="E193" s="217"/>
      <c r="F193" s="35"/>
    </row>
    <row r="194" spans="1:6">
      <c r="A194" s="33"/>
      <c r="B194" s="13"/>
      <c r="C194" s="13"/>
      <c r="D194" s="15"/>
      <c r="E194" s="217"/>
      <c r="F194" s="35"/>
    </row>
    <row r="195" spans="1:6">
      <c r="A195" s="33"/>
      <c r="B195" s="12" t="s">
        <v>13</v>
      </c>
      <c r="C195" s="14"/>
      <c r="D195" s="15">
        <v>0.13</v>
      </c>
      <c r="E195" s="217"/>
      <c r="F195" s="147">
        <f>D195*ROUND(E195,2)</f>
        <v>0</v>
      </c>
    </row>
    <row r="196" spans="1:6">
      <c r="A196" s="33"/>
      <c r="B196" s="13"/>
      <c r="C196" s="14"/>
      <c r="D196" s="15"/>
      <c r="E196" s="217"/>
      <c r="F196" s="35"/>
    </row>
    <row r="197" spans="1:6" ht="26.4">
      <c r="A197" s="33" t="s">
        <v>109</v>
      </c>
      <c r="B197" s="44" t="s">
        <v>135</v>
      </c>
      <c r="C197" s="14"/>
      <c r="D197" s="15"/>
      <c r="E197" s="217"/>
      <c r="F197" s="35"/>
    </row>
    <row r="198" spans="1:6">
      <c r="A198" s="33"/>
      <c r="B198" s="13" t="s">
        <v>95</v>
      </c>
      <c r="C198" s="13">
        <f>0.15*1.5*2</f>
        <v>0.44999999999999996</v>
      </c>
      <c r="D198" s="15"/>
      <c r="E198" s="217"/>
      <c r="F198" s="35"/>
    </row>
    <row r="199" spans="1:6">
      <c r="A199" s="33"/>
      <c r="B199" s="12" t="s">
        <v>13</v>
      </c>
      <c r="C199" s="14"/>
      <c r="D199" s="15">
        <v>0.45</v>
      </c>
      <c r="E199" s="217"/>
      <c r="F199" s="147">
        <f>D199*ROUND(E199,2)</f>
        <v>0</v>
      </c>
    </row>
    <row r="200" spans="1:6" ht="13.8">
      <c r="A200" s="33"/>
      <c r="B200" s="45"/>
      <c r="C200" s="14"/>
      <c r="D200" s="15"/>
      <c r="E200" s="217"/>
      <c r="F200" s="35"/>
    </row>
    <row r="201" spans="1:6" ht="26.4">
      <c r="A201" s="33" t="s">
        <v>110</v>
      </c>
      <c r="B201" s="30" t="s">
        <v>96</v>
      </c>
      <c r="C201" s="14"/>
      <c r="D201" s="15"/>
      <c r="E201" s="217"/>
      <c r="F201" s="35"/>
    </row>
    <row r="202" spans="1:6">
      <c r="A202" s="33"/>
      <c r="B202" s="30"/>
      <c r="C202" s="14"/>
      <c r="D202" s="15"/>
      <c r="E202" s="217"/>
      <c r="F202" s="35"/>
    </row>
    <row r="203" spans="1:6">
      <c r="A203" s="33"/>
      <c r="B203" s="12" t="s">
        <v>97</v>
      </c>
      <c r="C203" s="14"/>
      <c r="D203" s="15">
        <v>1</v>
      </c>
      <c r="E203" s="217"/>
      <c r="F203" s="147">
        <f>D203*ROUND(E203,2)</f>
        <v>0</v>
      </c>
    </row>
    <row r="204" spans="1:6">
      <c r="A204" s="46"/>
      <c r="B204" s="47"/>
      <c r="C204" s="48"/>
      <c r="D204" s="49"/>
      <c r="E204" s="50"/>
      <c r="F204" s="152"/>
    </row>
    <row r="205" spans="1:6">
      <c r="A205" s="33"/>
      <c r="B205" s="13"/>
      <c r="C205" s="14"/>
      <c r="D205" s="15"/>
      <c r="E205" s="24"/>
      <c r="F205" s="35"/>
    </row>
    <row r="206" spans="1:6">
      <c r="A206" s="38"/>
      <c r="B206" s="17" t="s">
        <v>98</v>
      </c>
      <c r="C206" s="18"/>
      <c r="D206" s="51">
        <f>C205</f>
        <v>0</v>
      </c>
      <c r="E206" s="23"/>
      <c r="F206" s="23">
        <f>SUM(F157:F204)</f>
        <v>0</v>
      </c>
    </row>
    <row r="207" spans="1:6">
      <c r="A207" s="46"/>
      <c r="B207" s="52" t="s">
        <v>134</v>
      </c>
      <c r="C207" s="48"/>
      <c r="D207" s="49"/>
      <c r="E207" s="50"/>
      <c r="F207" s="50">
        <f>3*F206</f>
        <v>0</v>
      </c>
    </row>
    <row r="208" spans="1:6">
      <c r="A208" s="9"/>
      <c r="B208" s="19"/>
      <c r="C208" s="14"/>
      <c r="D208" s="15"/>
      <c r="E208" s="37"/>
      <c r="F208" s="8"/>
    </row>
    <row r="209" spans="1:6">
      <c r="A209" s="9"/>
      <c r="B209" s="12"/>
      <c r="C209" s="14"/>
      <c r="D209" s="15"/>
      <c r="E209" s="37"/>
      <c r="F209" s="8"/>
    </row>
    <row r="210" spans="1:6" ht="13.8" thickBot="1">
      <c r="A210" s="9"/>
      <c r="B210" s="12"/>
      <c r="C210" s="12"/>
      <c r="D210" s="37"/>
      <c r="E210" s="37"/>
    </row>
    <row r="211" spans="1:6" ht="13.8" thickTop="1">
      <c r="A211" s="53"/>
      <c r="B211" s="54" t="s">
        <v>0</v>
      </c>
      <c r="C211" s="55"/>
      <c r="D211" s="55"/>
      <c r="E211" s="55"/>
      <c r="F211" s="158">
        <f>SUM(F38,F49,F104,F132,F207+F151)</f>
        <v>0</v>
      </c>
    </row>
    <row r="212" spans="1:6">
      <c r="A212" s="9"/>
      <c r="B212" s="20"/>
      <c r="C212" s="10"/>
      <c r="D212" s="10"/>
    </row>
  </sheetData>
  <sheetProtection algorithmName="SHA-512" hashValue="l06cqa4cDvaBIvrWX8lZrKh58EeAgrCEhxvc3mMg4CXo/sc8HouSTbHYkYDucBhxUsHfsmJZ9JZ+vLI/v1yTHw==" saltValue="vP0ogMBYTLo4BkKZJHtCbg==" spinCount="100000" sheet="1" objects="1" scenarios="1"/>
  <mergeCells count="5">
    <mergeCell ref="B3:E3"/>
    <mergeCell ref="A153:D153"/>
    <mergeCell ref="A8:D8"/>
    <mergeCell ref="A40:D40"/>
    <mergeCell ref="A51:D5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&amp;Lver. 2020-12-02&amp;C&amp;8&amp;P/&amp;N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3B95-60C8-4622-B284-04CE8EF35426}">
  <dimension ref="A1:F17"/>
  <sheetViews>
    <sheetView workbookViewId="0">
      <selection activeCell="E5" sqref="E5"/>
    </sheetView>
  </sheetViews>
  <sheetFormatPr defaultRowHeight="13.2"/>
  <cols>
    <col min="1" max="1" width="5.109375" style="179" bestFit="1" customWidth="1"/>
    <col min="2" max="2" width="41.88671875" style="179" customWidth="1"/>
    <col min="3" max="3" width="6.33203125" style="179" bestFit="1" customWidth="1"/>
    <col min="4" max="4" width="7.5546875" style="179" bestFit="1" customWidth="1"/>
    <col min="5" max="5" width="12.33203125" style="179" bestFit="1" customWidth="1"/>
    <col min="6" max="6" width="14.88671875" style="179" bestFit="1" customWidth="1"/>
    <col min="7" max="257" width="9.109375" style="179"/>
    <col min="258" max="258" width="43.109375" style="179" customWidth="1"/>
    <col min="259" max="260" width="9.109375" style="179"/>
    <col min="261" max="261" width="11" style="179" bestFit="1" customWidth="1"/>
    <col min="262" max="262" width="12" style="179" bestFit="1" customWidth="1"/>
    <col min="263" max="513" width="9.109375" style="179"/>
    <col min="514" max="514" width="43.109375" style="179" customWidth="1"/>
    <col min="515" max="516" width="9.109375" style="179"/>
    <col min="517" max="517" width="11" style="179" bestFit="1" customWidth="1"/>
    <col min="518" max="518" width="12" style="179" bestFit="1" customWidth="1"/>
    <col min="519" max="769" width="9.109375" style="179"/>
    <col min="770" max="770" width="43.109375" style="179" customWidth="1"/>
    <col min="771" max="772" width="9.109375" style="179"/>
    <col min="773" max="773" width="11" style="179" bestFit="1" customWidth="1"/>
    <col min="774" max="774" width="12" style="179" bestFit="1" customWidth="1"/>
    <col min="775" max="1025" width="9.109375" style="179"/>
    <col min="1026" max="1026" width="43.109375" style="179" customWidth="1"/>
    <col min="1027" max="1028" width="9.109375" style="179"/>
    <col min="1029" max="1029" width="11" style="179" bestFit="1" customWidth="1"/>
    <col min="1030" max="1030" width="12" style="179" bestFit="1" customWidth="1"/>
    <col min="1031" max="1281" width="9.109375" style="179"/>
    <col min="1282" max="1282" width="43.109375" style="179" customWidth="1"/>
    <col min="1283" max="1284" width="9.109375" style="179"/>
    <col min="1285" max="1285" width="11" style="179" bestFit="1" customWidth="1"/>
    <col min="1286" max="1286" width="12" style="179" bestFit="1" customWidth="1"/>
    <col min="1287" max="1537" width="9.109375" style="179"/>
    <col min="1538" max="1538" width="43.109375" style="179" customWidth="1"/>
    <col min="1539" max="1540" width="9.109375" style="179"/>
    <col min="1541" max="1541" width="11" style="179" bestFit="1" customWidth="1"/>
    <col min="1542" max="1542" width="12" style="179" bestFit="1" customWidth="1"/>
    <col min="1543" max="1793" width="9.109375" style="179"/>
    <col min="1794" max="1794" width="43.109375" style="179" customWidth="1"/>
    <col min="1795" max="1796" width="9.109375" style="179"/>
    <col min="1797" max="1797" width="11" style="179" bestFit="1" customWidth="1"/>
    <col min="1798" max="1798" width="12" style="179" bestFit="1" customWidth="1"/>
    <col min="1799" max="2049" width="9.109375" style="179"/>
    <col min="2050" max="2050" width="43.109375" style="179" customWidth="1"/>
    <col min="2051" max="2052" width="9.109375" style="179"/>
    <col min="2053" max="2053" width="11" style="179" bestFit="1" customWidth="1"/>
    <col min="2054" max="2054" width="12" style="179" bestFit="1" customWidth="1"/>
    <col min="2055" max="2305" width="9.109375" style="179"/>
    <col min="2306" max="2306" width="43.109375" style="179" customWidth="1"/>
    <col min="2307" max="2308" width="9.109375" style="179"/>
    <col min="2309" max="2309" width="11" style="179" bestFit="1" customWidth="1"/>
    <col min="2310" max="2310" width="12" style="179" bestFit="1" customWidth="1"/>
    <col min="2311" max="2561" width="9.109375" style="179"/>
    <col min="2562" max="2562" width="43.109375" style="179" customWidth="1"/>
    <col min="2563" max="2564" width="9.109375" style="179"/>
    <col min="2565" max="2565" width="11" style="179" bestFit="1" customWidth="1"/>
    <col min="2566" max="2566" width="12" style="179" bestFit="1" customWidth="1"/>
    <col min="2567" max="2817" width="9.109375" style="179"/>
    <col min="2818" max="2818" width="43.109375" style="179" customWidth="1"/>
    <col min="2819" max="2820" width="9.109375" style="179"/>
    <col min="2821" max="2821" width="11" style="179" bestFit="1" customWidth="1"/>
    <col min="2822" max="2822" width="12" style="179" bestFit="1" customWidth="1"/>
    <col min="2823" max="3073" width="9.109375" style="179"/>
    <col min="3074" max="3074" width="43.109375" style="179" customWidth="1"/>
    <col min="3075" max="3076" width="9.109375" style="179"/>
    <col min="3077" max="3077" width="11" style="179" bestFit="1" customWidth="1"/>
    <col min="3078" max="3078" width="12" style="179" bestFit="1" customWidth="1"/>
    <col min="3079" max="3329" width="9.109375" style="179"/>
    <col min="3330" max="3330" width="43.109375" style="179" customWidth="1"/>
    <col min="3331" max="3332" width="9.109375" style="179"/>
    <col min="3333" max="3333" width="11" style="179" bestFit="1" customWidth="1"/>
    <col min="3334" max="3334" width="12" style="179" bestFit="1" customWidth="1"/>
    <col min="3335" max="3585" width="9.109375" style="179"/>
    <col min="3586" max="3586" width="43.109375" style="179" customWidth="1"/>
    <col min="3587" max="3588" width="9.109375" style="179"/>
    <col min="3589" max="3589" width="11" style="179" bestFit="1" customWidth="1"/>
    <col min="3590" max="3590" width="12" style="179" bestFit="1" customWidth="1"/>
    <col min="3591" max="3841" width="9.109375" style="179"/>
    <col min="3842" max="3842" width="43.109375" style="179" customWidth="1"/>
    <col min="3843" max="3844" width="9.109375" style="179"/>
    <col min="3845" max="3845" width="11" style="179" bestFit="1" customWidth="1"/>
    <col min="3846" max="3846" width="12" style="179" bestFit="1" customWidth="1"/>
    <col min="3847" max="4097" width="9.109375" style="179"/>
    <col min="4098" max="4098" width="43.109375" style="179" customWidth="1"/>
    <col min="4099" max="4100" width="9.109375" style="179"/>
    <col min="4101" max="4101" width="11" style="179" bestFit="1" customWidth="1"/>
    <col min="4102" max="4102" width="12" style="179" bestFit="1" customWidth="1"/>
    <col min="4103" max="4353" width="9.109375" style="179"/>
    <col min="4354" max="4354" width="43.109375" style="179" customWidth="1"/>
    <col min="4355" max="4356" width="9.109375" style="179"/>
    <col min="4357" max="4357" width="11" style="179" bestFit="1" customWidth="1"/>
    <col min="4358" max="4358" width="12" style="179" bestFit="1" customWidth="1"/>
    <col min="4359" max="4609" width="9.109375" style="179"/>
    <col min="4610" max="4610" width="43.109375" style="179" customWidth="1"/>
    <col min="4611" max="4612" width="9.109375" style="179"/>
    <col min="4613" max="4613" width="11" style="179" bestFit="1" customWidth="1"/>
    <col min="4614" max="4614" width="12" style="179" bestFit="1" customWidth="1"/>
    <col min="4615" max="4865" width="9.109375" style="179"/>
    <col min="4866" max="4866" width="43.109375" style="179" customWidth="1"/>
    <col min="4867" max="4868" width="9.109375" style="179"/>
    <col min="4869" max="4869" width="11" style="179" bestFit="1" customWidth="1"/>
    <col min="4870" max="4870" width="12" style="179" bestFit="1" customWidth="1"/>
    <col min="4871" max="5121" width="9.109375" style="179"/>
    <col min="5122" max="5122" width="43.109375" style="179" customWidth="1"/>
    <col min="5123" max="5124" width="9.109375" style="179"/>
    <col min="5125" max="5125" width="11" style="179" bestFit="1" customWidth="1"/>
    <col min="5126" max="5126" width="12" style="179" bestFit="1" customWidth="1"/>
    <col min="5127" max="5377" width="9.109375" style="179"/>
    <col min="5378" max="5378" width="43.109375" style="179" customWidth="1"/>
    <col min="5379" max="5380" width="9.109375" style="179"/>
    <col min="5381" max="5381" width="11" style="179" bestFit="1" customWidth="1"/>
    <col min="5382" max="5382" width="12" style="179" bestFit="1" customWidth="1"/>
    <col min="5383" max="5633" width="9.109375" style="179"/>
    <col min="5634" max="5634" width="43.109375" style="179" customWidth="1"/>
    <col min="5635" max="5636" width="9.109375" style="179"/>
    <col min="5637" max="5637" width="11" style="179" bestFit="1" customWidth="1"/>
    <col min="5638" max="5638" width="12" style="179" bestFit="1" customWidth="1"/>
    <col min="5639" max="5889" width="9.109375" style="179"/>
    <col min="5890" max="5890" width="43.109375" style="179" customWidth="1"/>
    <col min="5891" max="5892" width="9.109375" style="179"/>
    <col min="5893" max="5893" width="11" style="179" bestFit="1" customWidth="1"/>
    <col min="5894" max="5894" width="12" style="179" bestFit="1" customWidth="1"/>
    <col min="5895" max="6145" width="9.109375" style="179"/>
    <col min="6146" max="6146" width="43.109375" style="179" customWidth="1"/>
    <col min="6147" max="6148" width="9.109375" style="179"/>
    <col min="6149" max="6149" width="11" style="179" bestFit="1" customWidth="1"/>
    <col min="6150" max="6150" width="12" style="179" bestFit="1" customWidth="1"/>
    <col min="6151" max="6401" width="9.109375" style="179"/>
    <col min="6402" max="6402" width="43.109375" style="179" customWidth="1"/>
    <col min="6403" max="6404" width="9.109375" style="179"/>
    <col min="6405" max="6405" width="11" style="179" bestFit="1" customWidth="1"/>
    <col min="6406" max="6406" width="12" style="179" bestFit="1" customWidth="1"/>
    <col min="6407" max="6657" width="9.109375" style="179"/>
    <col min="6658" max="6658" width="43.109375" style="179" customWidth="1"/>
    <col min="6659" max="6660" width="9.109375" style="179"/>
    <col min="6661" max="6661" width="11" style="179" bestFit="1" customWidth="1"/>
    <col min="6662" max="6662" width="12" style="179" bestFit="1" customWidth="1"/>
    <col min="6663" max="6913" width="9.109375" style="179"/>
    <col min="6914" max="6914" width="43.109375" style="179" customWidth="1"/>
    <col min="6915" max="6916" width="9.109375" style="179"/>
    <col min="6917" max="6917" width="11" style="179" bestFit="1" customWidth="1"/>
    <col min="6918" max="6918" width="12" style="179" bestFit="1" customWidth="1"/>
    <col min="6919" max="7169" width="9.109375" style="179"/>
    <col min="7170" max="7170" width="43.109375" style="179" customWidth="1"/>
    <col min="7171" max="7172" width="9.109375" style="179"/>
    <col min="7173" max="7173" width="11" style="179" bestFit="1" customWidth="1"/>
    <col min="7174" max="7174" width="12" style="179" bestFit="1" customWidth="1"/>
    <col min="7175" max="7425" width="9.109375" style="179"/>
    <col min="7426" max="7426" width="43.109375" style="179" customWidth="1"/>
    <col min="7427" max="7428" width="9.109375" style="179"/>
    <col min="7429" max="7429" width="11" style="179" bestFit="1" customWidth="1"/>
    <col min="7430" max="7430" width="12" style="179" bestFit="1" customWidth="1"/>
    <col min="7431" max="7681" width="9.109375" style="179"/>
    <col min="7682" max="7682" width="43.109375" style="179" customWidth="1"/>
    <col min="7683" max="7684" width="9.109375" style="179"/>
    <col min="7685" max="7685" width="11" style="179" bestFit="1" customWidth="1"/>
    <col min="7686" max="7686" width="12" style="179" bestFit="1" customWidth="1"/>
    <col min="7687" max="7937" width="9.109375" style="179"/>
    <col min="7938" max="7938" width="43.109375" style="179" customWidth="1"/>
    <col min="7939" max="7940" width="9.109375" style="179"/>
    <col min="7941" max="7941" width="11" style="179" bestFit="1" customWidth="1"/>
    <col min="7942" max="7942" width="12" style="179" bestFit="1" customWidth="1"/>
    <col min="7943" max="8193" width="9.109375" style="179"/>
    <col min="8194" max="8194" width="43.109375" style="179" customWidth="1"/>
    <col min="8195" max="8196" width="9.109375" style="179"/>
    <col min="8197" max="8197" width="11" style="179" bestFit="1" customWidth="1"/>
    <col min="8198" max="8198" width="12" style="179" bestFit="1" customWidth="1"/>
    <col min="8199" max="8449" width="9.109375" style="179"/>
    <col min="8450" max="8450" width="43.109375" style="179" customWidth="1"/>
    <col min="8451" max="8452" width="9.109375" style="179"/>
    <col min="8453" max="8453" width="11" style="179" bestFit="1" customWidth="1"/>
    <col min="8454" max="8454" width="12" style="179" bestFit="1" customWidth="1"/>
    <col min="8455" max="8705" width="9.109375" style="179"/>
    <col min="8706" max="8706" width="43.109375" style="179" customWidth="1"/>
    <col min="8707" max="8708" width="9.109375" style="179"/>
    <col min="8709" max="8709" width="11" style="179" bestFit="1" customWidth="1"/>
    <col min="8710" max="8710" width="12" style="179" bestFit="1" customWidth="1"/>
    <col min="8711" max="8961" width="9.109375" style="179"/>
    <col min="8962" max="8962" width="43.109375" style="179" customWidth="1"/>
    <col min="8963" max="8964" width="9.109375" style="179"/>
    <col min="8965" max="8965" width="11" style="179" bestFit="1" customWidth="1"/>
    <col min="8966" max="8966" width="12" style="179" bestFit="1" customWidth="1"/>
    <col min="8967" max="9217" width="9.109375" style="179"/>
    <col min="9218" max="9218" width="43.109375" style="179" customWidth="1"/>
    <col min="9219" max="9220" width="9.109375" style="179"/>
    <col min="9221" max="9221" width="11" style="179" bestFit="1" customWidth="1"/>
    <col min="9222" max="9222" width="12" style="179" bestFit="1" customWidth="1"/>
    <col min="9223" max="9473" width="9.109375" style="179"/>
    <col min="9474" max="9474" width="43.109375" style="179" customWidth="1"/>
    <col min="9475" max="9476" width="9.109375" style="179"/>
    <col min="9477" max="9477" width="11" style="179" bestFit="1" customWidth="1"/>
    <col min="9478" max="9478" width="12" style="179" bestFit="1" customWidth="1"/>
    <col min="9479" max="9729" width="9.109375" style="179"/>
    <col min="9730" max="9730" width="43.109375" style="179" customWidth="1"/>
    <col min="9731" max="9732" width="9.109375" style="179"/>
    <col min="9733" max="9733" width="11" style="179" bestFit="1" customWidth="1"/>
    <col min="9734" max="9734" width="12" style="179" bestFit="1" customWidth="1"/>
    <col min="9735" max="9985" width="9.109375" style="179"/>
    <col min="9986" max="9986" width="43.109375" style="179" customWidth="1"/>
    <col min="9987" max="9988" width="9.109375" style="179"/>
    <col min="9989" max="9989" width="11" style="179" bestFit="1" customWidth="1"/>
    <col min="9990" max="9990" width="12" style="179" bestFit="1" customWidth="1"/>
    <col min="9991" max="10241" width="9.109375" style="179"/>
    <col min="10242" max="10242" width="43.109375" style="179" customWidth="1"/>
    <col min="10243" max="10244" width="9.109375" style="179"/>
    <col min="10245" max="10245" width="11" style="179" bestFit="1" customWidth="1"/>
    <col min="10246" max="10246" width="12" style="179" bestFit="1" customWidth="1"/>
    <col min="10247" max="10497" width="9.109375" style="179"/>
    <col min="10498" max="10498" width="43.109375" style="179" customWidth="1"/>
    <col min="10499" max="10500" width="9.109375" style="179"/>
    <col min="10501" max="10501" width="11" style="179" bestFit="1" customWidth="1"/>
    <col min="10502" max="10502" width="12" style="179" bestFit="1" customWidth="1"/>
    <col min="10503" max="10753" width="9.109375" style="179"/>
    <col min="10754" max="10754" width="43.109375" style="179" customWidth="1"/>
    <col min="10755" max="10756" width="9.109375" style="179"/>
    <col min="10757" max="10757" width="11" style="179" bestFit="1" customWidth="1"/>
    <col min="10758" max="10758" width="12" style="179" bestFit="1" customWidth="1"/>
    <col min="10759" max="11009" width="9.109375" style="179"/>
    <col min="11010" max="11010" width="43.109375" style="179" customWidth="1"/>
    <col min="11011" max="11012" width="9.109375" style="179"/>
    <col min="11013" max="11013" width="11" style="179" bestFit="1" customWidth="1"/>
    <col min="11014" max="11014" width="12" style="179" bestFit="1" customWidth="1"/>
    <col min="11015" max="11265" width="9.109375" style="179"/>
    <col min="11266" max="11266" width="43.109375" style="179" customWidth="1"/>
    <col min="11267" max="11268" width="9.109375" style="179"/>
    <col min="11269" max="11269" width="11" style="179" bestFit="1" customWidth="1"/>
    <col min="11270" max="11270" width="12" style="179" bestFit="1" customWidth="1"/>
    <col min="11271" max="11521" width="9.109375" style="179"/>
    <col min="11522" max="11522" width="43.109375" style="179" customWidth="1"/>
    <col min="11523" max="11524" width="9.109375" style="179"/>
    <col min="11525" max="11525" width="11" style="179" bestFit="1" customWidth="1"/>
    <col min="11526" max="11526" width="12" style="179" bestFit="1" customWidth="1"/>
    <col min="11527" max="11777" width="9.109375" style="179"/>
    <col min="11778" max="11778" width="43.109375" style="179" customWidth="1"/>
    <col min="11779" max="11780" width="9.109375" style="179"/>
    <col min="11781" max="11781" width="11" style="179" bestFit="1" customWidth="1"/>
    <col min="11782" max="11782" width="12" style="179" bestFit="1" customWidth="1"/>
    <col min="11783" max="12033" width="9.109375" style="179"/>
    <col min="12034" max="12034" width="43.109375" style="179" customWidth="1"/>
    <col min="12035" max="12036" width="9.109375" style="179"/>
    <col min="12037" max="12037" width="11" style="179" bestFit="1" customWidth="1"/>
    <col min="12038" max="12038" width="12" style="179" bestFit="1" customWidth="1"/>
    <col min="12039" max="12289" width="9.109375" style="179"/>
    <col min="12290" max="12290" width="43.109375" style="179" customWidth="1"/>
    <col min="12291" max="12292" width="9.109375" style="179"/>
    <col min="12293" max="12293" width="11" style="179" bestFit="1" customWidth="1"/>
    <col min="12294" max="12294" width="12" style="179" bestFit="1" customWidth="1"/>
    <col min="12295" max="12545" width="9.109375" style="179"/>
    <col min="12546" max="12546" width="43.109375" style="179" customWidth="1"/>
    <col min="12547" max="12548" width="9.109375" style="179"/>
    <col min="12549" max="12549" width="11" style="179" bestFit="1" customWidth="1"/>
    <col min="12550" max="12550" width="12" style="179" bestFit="1" customWidth="1"/>
    <col min="12551" max="12801" width="9.109375" style="179"/>
    <col min="12802" max="12802" width="43.109375" style="179" customWidth="1"/>
    <col min="12803" max="12804" width="9.109375" style="179"/>
    <col min="12805" max="12805" width="11" style="179" bestFit="1" customWidth="1"/>
    <col min="12806" max="12806" width="12" style="179" bestFit="1" customWidth="1"/>
    <col min="12807" max="13057" width="9.109375" style="179"/>
    <col min="13058" max="13058" width="43.109375" style="179" customWidth="1"/>
    <col min="13059" max="13060" width="9.109375" style="179"/>
    <col min="13061" max="13061" width="11" style="179" bestFit="1" customWidth="1"/>
    <col min="13062" max="13062" width="12" style="179" bestFit="1" customWidth="1"/>
    <col min="13063" max="13313" width="9.109375" style="179"/>
    <col min="13314" max="13314" width="43.109375" style="179" customWidth="1"/>
    <col min="13315" max="13316" width="9.109375" style="179"/>
    <col min="13317" max="13317" width="11" style="179" bestFit="1" customWidth="1"/>
    <col min="13318" max="13318" width="12" style="179" bestFit="1" customWidth="1"/>
    <col min="13319" max="13569" width="9.109375" style="179"/>
    <col min="13570" max="13570" width="43.109375" style="179" customWidth="1"/>
    <col min="13571" max="13572" width="9.109375" style="179"/>
    <col min="13573" max="13573" width="11" style="179" bestFit="1" customWidth="1"/>
    <col min="13574" max="13574" width="12" style="179" bestFit="1" customWidth="1"/>
    <col min="13575" max="13825" width="9.109375" style="179"/>
    <col min="13826" max="13826" width="43.109375" style="179" customWidth="1"/>
    <col min="13827" max="13828" width="9.109375" style="179"/>
    <col min="13829" max="13829" width="11" style="179" bestFit="1" customWidth="1"/>
    <col min="13830" max="13830" width="12" style="179" bestFit="1" customWidth="1"/>
    <col min="13831" max="14081" width="9.109375" style="179"/>
    <col min="14082" max="14082" width="43.109375" style="179" customWidth="1"/>
    <col min="14083" max="14084" width="9.109375" style="179"/>
    <col min="14085" max="14085" width="11" style="179" bestFit="1" customWidth="1"/>
    <col min="14086" max="14086" width="12" style="179" bestFit="1" customWidth="1"/>
    <col min="14087" max="14337" width="9.109375" style="179"/>
    <col min="14338" max="14338" width="43.109375" style="179" customWidth="1"/>
    <col min="14339" max="14340" width="9.109375" style="179"/>
    <col min="14341" max="14341" width="11" style="179" bestFit="1" customWidth="1"/>
    <col min="14342" max="14342" width="12" style="179" bestFit="1" customWidth="1"/>
    <col min="14343" max="14593" width="9.109375" style="179"/>
    <col min="14594" max="14594" width="43.109375" style="179" customWidth="1"/>
    <col min="14595" max="14596" width="9.109375" style="179"/>
    <col min="14597" max="14597" width="11" style="179" bestFit="1" customWidth="1"/>
    <col min="14598" max="14598" width="12" style="179" bestFit="1" customWidth="1"/>
    <col min="14599" max="14849" width="9.109375" style="179"/>
    <col min="14850" max="14850" width="43.109375" style="179" customWidth="1"/>
    <col min="14851" max="14852" width="9.109375" style="179"/>
    <col min="14853" max="14853" width="11" style="179" bestFit="1" customWidth="1"/>
    <col min="14854" max="14854" width="12" style="179" bestFit="1" customWidth="1"/>
    <col min="14855" max="15105" width="9.109375" style="179"/>
    <col min="15106" max="15106" width="43.109375" style="179" customWidth="1"/>
    <col min="15107" max="15108" width="9.109375" style="179"/>
    <col min="15109" max="15109" width="11" style="179" bestFit="1" customWidth="1"/>
    <col min="15110" max="15110" width="12" style="179" bestFit="1" customWidth="1"/>
    <col min="15111" max="15361" width="9.109375" style="179"/>
    <col min="15362" max="15362" width="43.109375" style="179" customWidth="1"/>
    <col min="15363" max="15364" width="9.109375" style="179"/>
    <col min="15365" max="15365" width="11" style="179" bestFit="1" customWidth="1"/>
    <col min="15366" max="15366" width="12" style="179" bestFit="1" customWidth="1"/>
    <col min="15367" max="15617" width="9.109375" style="179"/>
    <col min="15618" max="15618" width="43.109375" style="179" customWidth="1"/>
    <col min="15619" max="15620" width="9.109375" style="179"/>
    <col min="15621" max="15621" width="11" style="179" bestFit="1" customWidth="1"/>
    <col min="15622" max="15622" width="12" style="179" bestFit="1" customWidth="1"/>
    <col min="15623" max="15873" width="9.109375" style="179"/>
    <col min="15874" max="15874" width="43.109375" style="179" customWidth="1"/>
    <col min="15875" max="15876" width="9.109375" style="179"/>
    <col min="15877" max="15877" width="11" style="179" bestFit="1" customWidth="1"/>
    <col min="15878" max="15878" width="12" style="179" bestFit="1" customWidth="1"/>
    <col min="15879" max="16129" width="9.109375" style="179"/>
    <col min="16130" max="16130" width="43.109375" style="179" customWidth="1"/>
    <col min="16131" max="16132" width="9.109375" style="179"/>
    <col min="16133" max="16133" width="11" style="179" bestFit="1" customWidth="1"/>
    <col min="16134" max="16134" width="12" style="179" bestFit="1" customWidth="1"/>
    <col min="16135" max="16384" width="9.109375" style="179"/>
  </cols>
  <sheetData>
    <row r="1" spans="1:6" s="164" customFormat="1" ht="15" customHeight="1">
      <c r="A1" s="159">
        <v>3</v>
      </c>
      <c r="B1" s="160" t="s">
        <v>318</v>
      </c>
      <c r="C1" s="160"/>
      <c r="D1" s="161"/>
      <c r="E1" s="162"/>
      <c r="F1" s="163"/>
    </row>
    <row r="2" spans="1:6" s="164" customFormat="1" ht="30.75" customHeight="1">
      <c r="A2" s="165" t="s">
        <v>217</v>
      </c>
      <c r="B2" s="131" t="s">
        <v>216</v>
      </c>
      <c r="C2" s="166" t="s">
        <v>215</v>
      </c>
      <c r="D2" s="167" t="s">
        <v>214</v>
      </c>
      <c r="E2" s="168" t="s">
        <v>213</v>
      </c>
      <c r="F2" s="168" t="s">
        <v>212</v>
      </c>
    </row>
    <row r="3" spans="1:6" s="164" customFormat="1" ht="15" customHeight="1">
      <c r="A3" s="169"/>
      <c r="B3" s="131"/>
      <c r="C3" s="160"/>
      <c r="D3" s="170"/>
      <c r="E3" s="168"/>
      <c r="F3" s="168"/>
    </row>
    <row r="4" spans="1:6" s="164" customFormat="1" ht="96.6">
      <c r="A4" s="169">
        <v>1</v>
      </c>
      <c r="B4" s="131" t="s">
        <v>211</v>
      </c>
      <c r="C4" s="160"/>
      <c r="D4" s="170"/>
      <c r="E4" s="232"/>
      <c r="F4" s="168"/>
    </row>
    <row r="5" spans="1:6" s="171" customFormat="1" ht="15" customHeight="1">
      <c r="A5" s="169" t="s">
        <v>209</v>
      </c>
      <c r="B5" s="131"/>
      <c r="C5" s="131" t="s">
        <v>208</v>
      </c>
      <c r="D5" s="167">
        <v>1</v>
      </c>
      <c r="E5" s="233"/>
      <c r="F5" s="170">
        <f>ROUND(D5*E5,2)</f>
        <v>0</v>
      </c>
    </row>
    <row r="6" spans="1:6" s="164" customFormat="1" ht="15" customHeight="1">
      <c r="A6" s="169"/>
      <c r="B6" s="131"/>
      <c r="C6" s="160"/>
      <c r="D6" s="170"/>
      <c r="E6" s="234"/>
      <c r="F6" s="168"/>
    </row>
    <row r="7" spans="1:6" s="164" customFormat="1" ht="82.8">
      <c r="A7" s="169">
        <v>2</v>
      </c>
      <c r="B7" s="131" t="s">
        <v>210</v>
      </c>
      <c r="C7" s="160"/>
      <c r="D7" s="170"/>
      <c r="E7" s="234"/>
      <c r="F7" s="168"/>
    </row>
    <row r="8" spans="1:6" s="171" customFormat="1" ht="15" customHeight="1">
      <c r="A8" s="169" t="s">
        <v>209</v>
      </c>
      <c r="B8" s="131"/>
      <c r="C8" s="131" t="s">
        <v>208</v>
      </c>
      <c r="D8" s="167">
        <v>1</v>
      </c>
      <c r="E8" s="233"/>
      <c r="F8" s="170">
        <f>ROUND(D8*E8,2)</f>
        <v>0</v>
      </c>
    </row>
    <row r="9" spans="1:6" s="164" customFormat="1" ht="15" customHeight="1">
      <c r="A9" s="169"/>
      <c r="B9" s="131"/>
      <c r="C9" s="160"/>
      <c r="D9" s="170"/>
      <c r="E9" s="232"/>
      <c r="F9" s="168"/>
    </row>
    <row r="10" spans="1:6" s="171" customFormat="1" ht="15" customHeight="1">
      <c r="A10" s="169"/>
      <c r="B10" s="131"/>
      <c r="C10" s="131"/>
      <c r="D10" s="167"/>
      <c r="E10" s="235"/>
      <c r="F10" s="162"/>
    </row>
    <row r="11" spans="1:6" s="171" customFormat="1" ht="110.4">
      <c r="A11" s="172">
        <v>6</v>
      </c>
      <c r="B11" s="173" t="s">
        <v>207</v>
      </c>
      <c r="C11" s="174"/>
      <c r="D11" s="174"/>
      <c r="E11" s="236"/>
      <c r="F11" s="174"/>
    </row>
    <row r="12" spans="1:6" s="171" customFormat="1" ht="15" customHeight="1">
      <c r="A12" s="169" t="s">
        <v>206</v>
      </c>
      <c r="B12" s="173" t="s">
        <v>205</v>
      </c>
      <c r="C12" s="175" t="s">
        <v>200</v>
      </c>
      <c r="D12" s="174">
        <v>80</v>
      </c>
      <c r="E12" s="237"/>
      <c r="F12" s="170">
        <f>ROUND(D12*E12,2)</f>
        <v>0</v>
      </c>
    </row>
    <row r="13" spans="1:6" s="171" customFormat="1" ht="15" customHeight="1">
      <c r="A13" s="169" t="s">
        <v>204</v>
      </c>
      <c r="B13" s="173" t="s">
        <v>203</v>
      </c>
      <c r="C13" s="175" t="s">
        <v>200</v>
      </c>
      <c r="D13" s="174">
        <v>100</v>
      </c>
      <c r="E13" s="237"/>
      <c r="F13" s="170">
        <f>ROUND(D13*E13,2)</f>
        <v>0</v>
      </c>
    </row>
    <row r="14" spans="1:6" s="171" customFormat="1" ht="15" customHeight="1">
      <c r="A14" s="169" t="s">
        <v>202</v>
      </c>
      <c r="B14" s="173" t="s">
        <v>201</v>
      </c>
      <c r="C14" s="175" t="s">
        <v>200</v>
      </c>
      <c r="D14" s="174">
        <v>160</v>
      </c>
      <c r="E14" s="237"/>
      <c r="F14" s="170">
        <f>ROUND(D14*E14,2)</f>
        <v>0</v>
      </c>
    </row>
    <row r="15" spans="1:6" s="171" customFormat="1" ht="15" customHeight="1">
      <c r="A15" s="169"/>
      <c r="B15" s="131"/>
      <c r="C15" s="131"/>
      <c r="D15" s="170"/>
      <c r="E15" s="168"/>
      <c r="F15" s="168"/>
    </row>
    <row r="16" spans="1:6" s="164" customFormat="1" ht="15" customHeight="1" thickBot="1">
      <c r="A16" s="176"/>
      <c r="B16" s="177" t="s">
        <v>199</v>
      </c>
      <c r="C16" s="178"/>
      <c r="D16" s="178"/>
      <c r="E16" s="178"/>
      <c r="F16" s="178">
        <f>SUM(F2:F15)</f>
        <v>0</v>
      </c>
    </row>
    <row r="17" ht="13.8" thickTop="1"/>
  </sheetData>
  <sheetProtection algorithmName="SHA-512" hashValue="FHsOVIVpOpXEdeIkRJI1b8NJu50TqofFj7KQxyqO4wYjkdD+fl/joSq0Sn+TTMMFTAxjZA5WQQkGLIC59VMwZg==" saltValue="gFdC9lqYo7N6DMqF9EGbWQ==" spinCount="100000"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&amp;Lver. 2020-12-02&amp;C&amp;8&amp;P/&amp;N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53E7-123A-4F55-927F-ED3C1A8FF127}">
  <dimension ref="A1:H51"/>
  <sheetViews>
    <sheetView zoomScaleNormal="100" zoomScaleSheetLayoutView="100" workbookViewId="0">
      <selection activeCell="D11" sqref="D11"/>
    </sheetView>
  </sheetViews>
  <sheetFormatPr defaultRowHeight="13.8"/>
  <cols>
    <col min="1" max="1" width="4" style="183" bestFit="1" customWidth="1"/>
    <col min="2" max="2" width="52.33203125" style="185" customWidth="1"/>
    <col min="3" max="3" width="9.33203125" style="184" bestFit="1" customWidth="1"/>
    <col min="4" max="5" width="11.5546875" style="184" bestFit="1" customWidth="1"/>
    <col min="6" max="256" width="9.109375" style="182"/>
    <col min="257" max="257" width="4.6640625" style="182" customWidth="1"/>
    <col min="258" max="258" width="43.109375" style="182" customWidth="1"/>
    <col min="259" max="259" width="9" style="182" customWidth="1"/>
    <col min="260" max="261" width="16.6640625" style="182" customWidth="1"/>
    <col min="262" max="512" width="9.109375" style="182"/>
    <col min="513" max="513" width="4.6640625" style="182" customWidth="1"/>
    <col min="514" max="514" width="43.109375" style="182" customWidth="1"/>
    <col min="515" max="515" width="9" style="182" customWidth="1"/>
    <col min="516" max="517" width="16.6640625" style="182" customWidth="1"/>
    <col min="518" max="768" width="9.109375" style="182"/>
    <col min="769" max="769" width="4.6640625" style="182" customWidth="1"/>
    <col min="770" max="770" width="43.109375" style="182" customWidth="1"/>
    <col min="771" max="771" width="9" style="182" customWidth="1"/>
    <col min="772" max="773" width="16.6640625" style="182" customWidth="1"/>
    <col min="774" max="1024" width="9.109375" style="182"/>
    <col min="1025" max="1025" width="4.6640625" style="182" customWidth="1"/>
    <col min="1026" max="1026" width="43.109375" style="182" customWidth="1"/>
    <col min="1027" max="1027" width="9" style="182" customWidth="1"/>
    <col min="1028" max="1029" width="16.6640625" style="182" customWidth="1"/>
    <col min="1030" max="1280" width="9.109375" style="182"/>
    <col min="1281" max="1281" width="4.6640625" style="182" customWidth="1"/>
    <col min="1282" max="1282" width="43.109375" style="182" customWidth="1"/>
    <col min="1283" max="1283" width="9" style="182" customWidth="1"/>
    <col min="1284" max="1285" width="16.6640625" style="182" customWidth="1"/>
    <col min="1286" max="1536" width="9.109375" style="182"/>
    <col min="1537" max="1537" width="4.6640625" style="182" customWidth="1"/>
    <col min="1538" max="1538" width="43.109375" style="182" customWidth="1"/>
    <col min="1539" max="1539" width="9" style="182" customWidth="1"/>
    <col min="1540" max="1541" width="16.6640625" style="182" customWidth="1"/>
    <col min="1542" max="1792" width="9.109375" style="182"/>
    <col min="1793" max="1793" width="4.6640625" style="182" customWidth="1"/>
    <col min="1794" max="1794" width="43.109375" style="182" customWidth="1"/>
    <col min="1795" max="1795" width="9" style="182" customWidth="1"/>
    <col min="1796" max="1797" width="16.6640625" style="182" customWidth="1"/>
    <col min="1798" max="2048" width="9.109375" style="182"/>
    <col min="2049" max="2049" width="4.6640625" style="182" customWidth="1"/>
    <col min="2050" max="2050" width="43.109375" style="182" customWidth="1"/>
    <col min="2051" max="2051" width="9" style="182" customWidth="1"/>
    <col min="2052" max="2053" width="16.6640625" style="182" customWidth="1"/>
    <col min="2054" max="2304" width="9.109375" style="182"/>
    <col min="2305" max="2305" width="4.6640625" style="182" customWidth="1"/>
    <col min="2306" max="2306" width="43.109375" style="182" customWidth="1"/>
    <col min="2307" max="2307" width="9" style="182" customWidth="1"/>
    <col min="2308" max="2309" width="16.6640625" style="182" customWidth="1"/>
    <col min="2310" max="2560" width="9.109375" style="182"/>
    <col min="2561" max="2561" width="4.6640625" style="182" customWidth="1"/>
    <col min="2562" max="2562" width="43.109375" style="182" customWidth="1"/>
    <col min="2563" max="2563" width="9" style="182" customWidth="1"/>
    <col min="2564" max="2565" width="16.6640625" style="182" customWidth="1"/>
    <col min="2566" max="2816" width="9.109375" style="182"/>
    <col min="2817" max="2817" width="4.6640625" style="182" customWidth="1"/>
    <col min="2818" max="2818" width="43.109375" style="182" customWidth="1"/>
    <col min="2819" max="2819" width="9" style="182" customWidth="1"/>
    <col min="2820" max="2821" width="16.6640625" style="182" customWidth="1"/>
    <col min="2822" max="3072" width="9.109375" style="182"/>
    <col min="3073" max="3073" width="4.6640625" style="182" customWidth="1"/>
    <col min="3074" max="3074" width="43.109375" style="182" customWidth="1"/>
    <col min="3075" max="3075" width="9" style="182" customWidth="1"/>
    <col min="3076" max="3077" width="16.6640625" style="182" customWidth="1"/>
    <col min="3078" max="3328" width="9.109375" style="182"/>
    <col min="3329" max="3329" width="4.6640625" style="182" customWidth="1"/>
    <col min="3330" max="3330" width="43.109375" style="182" customWidth="1"/>
    <col min="3331" max="3331" width="9" style="182" customWidth="1"/>
    <col min="3332" max="3333" width="16.6640625" style="182" customWidth="1"/>
    <col min="3334" max="3584" width="9.109375" style="182"/>
    <col min="3585" max="3585" width="4.6640625" style="182" customWidth="1"/>
    <col min="3586" max="3586" width="43.109375" style="182" customWidth="1"/>
    <col min="3587" max="3587" width="9" style="182" customWidth="1"/>
    <col min="3588" max="3589" width="16.6640625" style="182" customWidth="1"/>
    <col min="3590" max="3840" width="9.109375" style="182"/>
    <col min="3841" max="3841" width="4.6640625" style="182" customWidth="1"/>
    <col min="3842" max="3842" width="43.109375" style="182" customWidth="1"/>
    <col min="3843" max="3843" width="9" style="182" customWidth="1"/>
    <col min="3844" max="3845" width="16.6640625" style="182" customWidth="1"/>
    <col min="3846" max="4096" width="9.109375" style="182"/>
    <col min="4097" max="4097" width="4.6640625" style="182" customWidth="1"/>
    <col min="4098" max="4098" width="43.109375" style="182" customWidth="1"/>
    <col min="4099" max="4099" width="9" style="182" customWidth="1"/>
    <col min="4100" max="4101" width="16.6640625" style="182" customWidth="1"/>
    <col min="4102" max="4352" width="9.109375" style="182"/>
    <col min="4353" max="4353" width="4.6640625" style="182" customWidth="1"/>
    <col min="4354" max="4354" width="43.109375" style="182" customWidth="1"/>
    <col min="4355" max="4355" width="9" style="182" customWidth="1"/>
    <col min="4356" max="4357" width="16.6640625" style="182" customWidth="1"/>
    <col min="4358" max="4608" width="9.109375" style="182"/>
    <col min="4609" max="4609" width="4.6640625" style="182" customWidth="1"/>
    <col min="4610" max="4610" width="43.109375" style="182" customWidth="1"/>
    <col min="4611" max="4611" width="9" style="182" customWidth="1"/>
    <col min="4612" max="4613" width="16.6640625" style="182" customWidth="1"/>
    <col min="4614" max="4864" width="9.109375" style="182"/>
    <col min="4865" max="4865" width="4.6640625" style="182" customWidth="1"/>
    <col min="4866" max="4866" width="43.109375" style="182" customWidth="1"/>
    <col min="4867" max="4867" width="9" style="182" customWidth="1"/>
    <col min="4868" max="4869" width="16.6640625" style="182" customWidth="1"/>
    <col min="4870" max="5120" width="9.109375" style="182"/>
    <col min="5121" max="5121" width="4.6640625" style="182" customWidth="1"/>
    <col min="5122" max="5122" width="43.109375" style="182" customWidth="1"/>
    <col min="5123" max="5123" width="9" style="182" customWidth="1"/>
    <col min="5124" max="5125" width="16.6640625" style="182" customWidth="1"/>
    <col min="5126" max="5376" width="9.109375" style="182"/>
    <col min="5377" max="5377" width="4.6640625" style="182" customWidth="1"/>
    <col min="5378" max="5378" width="43.109375" style="182" customWidth="1"/>
    <col min="5379" max="5379" width="9" style="182" customWidth="1"/>
    <col min="5380" max="5381" width="16.6640625" style="182" customWidth="1"/>
    <col min="5382" max="5632" width="9.109375" style="182"/>
    <col min="5633" max="5633" width="4.6640625" style="182" customWidth="1"/>
    <col min="5634" max="5634" width="43.109375" style="182" customWidth="1"/>
    <col min="5635" max="5635" width="9" style="182" customWidth="1"/>
    <col min="5636" max="5637" width="16.6640625" style="182" customWidth="1"/>
    <col min="5638" max="5888" width="9.109375" style="182"/>
    <col min="5889" max="5889" width="4.6640625" style="182" customWidth="1"/>
    <col min="5890" max="5890" width="43.109375" style="182" customWidth="1"/>
    <col min="5891" max="5891" width="9" style="182" customWidth="1"/>
    <col min="5892" max="5893" width="16.6640625" style="182" customWidth="1"/>
    <col min="5894" max="6144" width="9.109375" style="182"/>
    <col min="6145" max="6145" width="4.6640625" style="182" customWidth="1"/>
    <col min="6146" max="6146" width="43.109375" style="182" customWidth="1"/>
    <col min="6147" max="6147" width="9" style="182" customWidth="1"/>
    <col min="6148" max="6149" width="16.6640625" style="182" customWidth="1"/>
    <col min="6150" max="6400" width="9.109375" style="182"/>
    <col min="6401" max="6401" width="4.6640625" style="182" customWidth="1"/>
    <col min="6402" max="6402" width="43.109375" style="182" customWidth="1"/>
    <col min="6403" max="6403" width="9" style="182" customWidth="1"/>
    <col min="6404" max="6405" width="16.6640625" style="182" customWidth="1"/>
    <col min="6406" max="6656" width="9.109375" style="182"/>
    <col min="6657" max="6657" width="4.6640625" style="182" customWidth="1"/>
    <col min="6658" max="6658" width="43.109375" style="182" customWidth="1"/>
    <col min="6659" max="6659" width="9" style="182" customWidth="1"/>
    <col min="6660" max="6661" width="16.6640625" style="182" customWidth="1"/>
    <col min="6662" max="6912" width="9.109375" style="182"/>
    <col min="6913" max="6913" width="4.6640625" style="182" customWidth="1"/>
    <col min="6914" max="6914" width="43.109375" style="182" customWidth="1"/>
    <col min="6915" max="6915" width="9" style="182" customWidth="1"/>
    <col min="6916" max="6917" width="16.6640625" style="182" customWidth="1"/>
    <col min="6918" max="7168" width="9.109375" style="182"/>
    <col min="7169" max="7169" width="4.6640625" style="182" customWidth="1"/>
    <col min="7170" max="7170" width="43.109375" style="182" customWidth="1"/>
    <col min="7171" max="7171" width="9" style="182" customWidth="1"/>
    <col min="7172" max="7173" width="16.6640625" style="182" customWidth="1"/>
    <col min="7174" max="7424" width="9.109375" style="182"/>
    <col min="7425" max="7425" width="4.6640625" style="182" customWidth="1"/>
    <col min="7426" max="7426" width="43.109375" style="182" customWidth="1"/>
    <col min="7427" max="7427" width="9" style="182" customWidth="1"/>
    <col min="7428" max="7429" width="16.6640625" style="182" customWidth="1"/>
    <col min="7430" max="7680" width="9.109375" style="182"/>
    <col min="7681" max="7681" width="4.6640625" style="182" customWidth="1"/>
    <col min="7682" max="7682" width="43.109375" style="182" customWidth="1"/>
    <col min="7683" max="7683" width="9" style="182" customWidth="1"/>
    <col min="7684" max="7685" width="16.6640625" style="182" customWidth="1"/>
    <col min="7686" max="7936" width="9.109375" style="182"/>
    <col min="7937" max="7937" width="4.6640625" style="182" customWidth="1"/>
    <col min="7938" max="7938" width="43.109375" style="182" customWidth="1"/>
    <col min="7939" max="7939" width="9" style="182" customWidth="1"/>
    <col min="7940" max="7941" width="16.6640625" style="182" customWidth="1"/>
    <col min="7942" max="8192" width="9.109375" style="182"/>
    <col min="8193" max="8193" width="4.6640625" style="182" customWidth="1"/>
    <col min="8194" max="8194" width="43.109375" style="182" customWidth="1"/>
    <col min="8195" max="8195" width="9" style="182" customWidth="1"/>
    <col min="8196" max="8197" width="16.6640625" style="182" customWidth="1"/>
    <col min="8198" max="8448" width="9.109375" style="182"/>
    <col min="8449" max="8449" width="4.6640625" style="182" customWidth="1"/>
    <col min="8450" max="8450" width="43.109375" style="182" customWidth="1"/>
    <col min="8451" max="8451" width="9" style="182" customWidth="1"/>
    <col min="8452" max="8453" width="16.6640625" style="182" customWidth="1"/>
    <col min="8454" max="8704" width="9.109375" style="182"/>
    <col min="8705" max="8705" width="4.6640625" style="182" customWidth="1"/>
    <col min="8706" max="8706" width="43.109375" style="182" customWidth="1"/>
    <col min="8707" max="8707" width="9" style="182" customWidth="1"/>
    <col min="8708" max="8709" width="16.6640625" style="182" customWidth="1"/>
    <col min="8710" max="8960" width="9.109375" style="182"/>
    <col min="8961" max="8961" width="4.6640625" style="182" customWidth="1"/>
    <col min="8962" max="8962" width="43.109375" style="182" customWidth="1"/>
    <col min="8963" max="8963" width="9" style="182" customWidth="1"/>
    <col min="8964" max="8965" width="16.6640625" style="182" customWidth="1"/>
    <col min="8966" max="9216" width="9.109375" style="182"/>
    <col min="9217" max="9217" width="4.6640625" style="182" customWidth="1"/>
    <col min="9218" max="9218" width="43.109375" style="182" customWidth="1"/>
    <col min="9219" max="9219" width="9" style="182" customWidth="1"/>
    <col min="9220" max="9221" width="16.6640625" style="182" customWidth="1"/>
    <col min="9222" max="9472" width="9.109375" style="182"/>
    <col min="9473" max="9473" width="4.6640625" style="182" customWidth="1"/>
    <col min="9474" max="9474" width="43.109375" style="182" customWidth="1"/>
    <col min="9475" max="9475" width="9" style="182" customWidth="1"/>
    <col min="9476" max="9477" width="16.6640625" style="182" customWidth="1"/>
    <col min="9478" max="9728" width="9.109375" style="182"/>
    <col min="9729" max="9729" width="4.6640625" style="182" customWidth="1"/>
    <col min="9730" max="9730" width="43.109375" style="182" customWidth="1"/>
    <col min="9731" max="9731" width="9" style="182" customWidth="1"/>
    <col min="9732" max="9733" width="16.6640625" style="182" customWidth="1"/>
    <col min="9734" max="9984" width="9.109375" style="182"/>
    <col min="9985" max="9985" width="4.6640625" style="182" customWidth="1"/>
    <col min="9986" max="9986" width="43.109375" style="182" customWidth="1"/>
    <col min="9987" max="9987" width="9" style="182" customWidth="1"/>
    <col min="9988" max="9989" width="16.6640625" style="182" customWidth="1"/>
    <col min="9990" max="10240" width="9.109375" style="182"/>
    <col min="10241" max="10241" width="4.6640625" style="182" customWidth="1"/>
    <col min="10242" max="10242" width="43.109375" style="182" customWidth="1"/>
    <col min="10243" max="10243" width="9" style="182" customWidth="1"/>
    <col min="10244" max="10245" width="16.6640625" style="182" customWidth="1"/>
    <col min="10246" max="10496" width="9.109375" style="182"/>
    <col min="10497" max="10497" width="4.6640625" style="182" customWidth="1"/>
    <col min="10498" max="10498" width="43.109375" style="182" customWidth="1"/>
    <col min="10499" max="10499" width="9" style="182" customWidth="1"/>
    <col min="10500" max="10501" width="16.6640625" style="182" customWidth="1"/>
    <col min="10502" max="10752" width="9.109375" style="182"/>
    <col min="10753" max="10753" width="4.6640625" style="182" customWidth="1"/>
    <col min="10754" max="10754" width="43.109375" style="182" customWidth="1"/>
    <col min="10755" max="10755" width="9" style="182" customWidth="1"/>
    <col min="10756" max="10757" width="16.6640625" style="182" customWidth="1"/>
    <col min="10758" max="11008" width="9.109375" style="182"/>
    <col min="11009" max="11009" width="4.6640625" style="182" customWidth="1"/>
    <col min="11010" max="11010" width="43.109375" style="182" customWidth="1"/>
    <col min="11011" max="11011" width="9" style="182" customWidth="1"/>
    <col min="11012" max="11013" width="16.6640625" style="182" customWidth="1"/>
    <col min="11014" max="11264" width="9.109375" style="182"/>
    <col min="11265" max="11265" width="4.6640625" style="182" customWidth="1"/>
    <col min="11266" max="11266" width="43.109375" style="182" customWidth="1"/>
    <col min="11267" max="11267" width="9" style="182" customWidth="1"/>
    <col min="11268" max="11269" width="16.6640625" style="182" customWidth="1"/>
    <col min="11270" max="11520" width="9.109375" style="182"/>
    <col min="11521" max="11521" width="4.6640625" style="182" customWidth="1"/>
    <col min="11522" max="11522" width="43.109375" style="182" customWidth="1"/>
    <col min="11523" max="11523" width="9" style="182" customWidth="1"/>
    <col min="11524" max="11525" width="16.6640625" style="182" customWidth="1"/>
    <col min="11526" max="11776" width="9.109375" style="182"/>
    <col min="11777" max="11777" width="4.6640625" style="182" customWidth="1"/>
    <col min="11778" max="11778" width="43.109375" style="182" customWidth="1"/>
    <col min="11779" max="11779" width="9" style="182" customWidth="1"/>
    <col min="11780" max="11781" width="16.6640625" style="182" customWidth="1"/>
    <col min="11782" max="12032" width="9.109375" style="182"/>
    <col min="12033" max="12033" width="4.6640625" style="182" customWidth="1"/>
    <col min="12034" max="12034" width="43.109375" style="182" customWidth="1"/>
    <col min="12035" max="12035" width="9" style="182" customWidth="1"/>
    <col min="12036" max="12037" width="16.6640625" style="182" customWidth="1"/>
    <col min="12038" max="12288" width="9.109375" style="182"/>
    <col min="12289" max="12289" width="4.6640625" style="182" customWidth="1"/>
    <col min="12290" max="12290" width="43.109375" style="182" customWidth="1"/>
    <col min="12291" max="12291" width="9" style="182" customWidth="1"/>
    <col min="12292" max="12293" width="16.6640625" style="182" customWidth="1"/>
    <col min="12294" max="12544" width="9.109375" style="182"/>
    <col min="12545" max="12545" width="4.6640625" style="182" customWidth="1"/>
    <col min="12546" max="12546" width="43.109375" style="182" customWidth="1"/>
    <col min="12547" max="12547" width="9" style="182" customWidth="1"/>
    <col min="12548" max="12549" width="16.6640625" style="182" customWidth="1"/>
    <col min="12550" max="12800" width="9.109375" style="182"/>
    <col min="12801" max="12801" width="4.6640625" style="182" customWidth="1"/>
    <col min="12802" max="12802" width="43.109375" style="182" customWidth="1"/>
    <col min="12803" max="12803" width="9" style="182" customWidth="1"/>
    <col min="12804" max="12805" width="16.6640625" style="182" customWidth="1"/>
    <col min="12806" max="13056" width="9.109375" style="182"/>
    <col min="13057" max="13057" width="4.6640625" style="182" customWidth="1"/>
    <col min="13058" max="13058" width="43.109375" style="182" customWidth="1"/>
    <col min="13059" max="13059" width="9" style="182" customWidth="1"/>
    <col min="13060" max="13061" width="16.6640625" style="182" customWidth="1"/>
    <col min="13062" max="13312" width="9.109375" style="182"/>
    <col min="13313" max="13313" width="4.6640625" style="182" customWidth="1"/>
    <col min="13314" max="13314" width="43.109375" style="182" customWidth="1"/>
    <col min="13315" max="13315" width="9" style="182" customWidth="1"/>
    <col min="13316" max="13317" width="16.6640625" style="182" customWidth="1"/>
    <col min="13318" max="13568" width="9.109375" style="182"/>
    <col min="13569" max="13569" width="4.6640625" style="182" customWidth="1"/>
    <col min="13570" max="13570" width="43.109375" style="182" customWidth="1"/>
    <col min="13571" max="13571" width="9" style="182" customWidth="1"/>
    <col min="13572" max="13573" width="16.6640625" style="182" customWidth="1"/>
    <col min="13574" max="13824" width="9.109375" style="182"/>
    <col min="13825" max="13825" width="4.6640625" style="182" customWidth="1"/>
    <col min="13826" max="13826" width="43.109375" style="182" customWidth="1"/>
    <col min="13827" max="13827" width="9" style="182" customWidth="1"/>
    <col min="13828" max="13829" width="16.6640625" style="182" customWidth="1"/>
    <col min="13830" max="14080" width="9.109375" style="182"/>
    <col min="14081" max="14081" width="4.6640625" style="182" customWidth="1"/>
    <col min="14082" max="14082" width="43.109375" style="182" customWidth="1"/>
    <col min="14083" max="14083" width="9" style="182" customWidth="1"/>
    <col min="14084" max="14085" width="16.6640625" style="182" customWidth="1"/>
    <col min="14086" max="14336" width="9.109375" style="182"/>
    <col min="14337" max="14337" width="4.6640625" style="182" customWidth="1"/>
    <col min="14338" max="14338" width="43.109375" style="182" customWidth="1"/>
    <col min="14339" max="14339" width="9" style="182" customWidth="1"/>
    <col min="14340" max="14341" width="16.6640625" style="182" customWidth="1"/>
    <col min="14342" max="14592" width="9.109375" style="182"/>
    <col min="14593" max="14593" width="4.6640625" style="182" customWidth="1"/>
    <col min="14594" max="14594" width="43.109375" style="182" customWidth="1"/>
    <col min="14595" max="14595" width="9" style="182" customWidth="1"/>
    <col min="14596" max="14597" width="16.6640625" style="182" customWidth="1"/>
    <col min="14598" max="14848" width="9.109375" style="182"/>
    <col min="14849" max="14849" width="4.6640625" style="182" customWidth="1"/>
    <col min="14850" max="14850" width="43.109375" style="182" customWidth="1"/>
    <col min="14851" max="14851" width="9" style="182" customWidth="1"/>
    <col min="14852" max="14853" width="16.6640625" style="182" customWidth="1"/>
    <col min="14854" max="15104" width="9.109375" style="182"/>
    <col min="15105" max="15105" width="4.6640625" style="182" customWidth="1"/>
    <col min="15106" max="15106" width="43.109375" style="182" customWidth="1"/>
    <col min="15107" max="15107" width="9" style="182" customWidth="1"/>
    <col min="15108" max="15109" width="16.6640625" style="182" customWidth="1"/>
    <col min="15110" max="15360" width="9.109375" style="182"/>
    <col min="15361" max="15361" width="4.6640625" style="182" customWidth="1"/>
    <col min="15362" max="15362" width="43.109375" style="182" customWidth="1"/>
    <col min="15363" max="15363" width="9" style="182" customWidth="1"/>
    <col min="15364" max="15365" width="16.6640625" style="182" customWidth="1"/>
    <col min="15366" max="15616" width="9.109375" style="182"/>
    <col min="15617" max="15617" width="4.6640625" style="182" customWidth="1"/>
    <col min="15618" max="15618" width="43.109375" style="182" customWidth="1"/>
    <col min="15619" max="15619" width="9" style="182" customWidth="1"/>
    <col min="15620" max="15621" width="16.6640625" style="182" customWidth="1"/>
    <col min="15622" max="15872" width="9.109375" style="182"/>
    <col min="15873" max="15873" width="4.6640625" style="182" customWidth="1"/>
    <col min="15874" max="15874" width="43.109375" style="182" customWidth="1"/>
    <col min="15875" max="15875" width="9" style="182" customWidth="1"/>
    <col min="15876" max="15877" width="16.6640625" style="182" customWidth="1"/>
    <col min="15878" max="16128" width="9.109375" style="182"/>
    <col min="16129" max="16129" width="4.6640625" style="182" customWidth="1"/>
    <col min="16130" max="16130" width="43.109375" style="182" customWidth="1"/>
    <col min="16131" max="16131" width="9" style="182" customWidth="1"/>
    <col min="16132" max="16133" width="16.6640625" style="182" customWidth="1"/>
    <col min="16134" max="16384" width="9.109375" style="182"/>
  </cols>
  <sheetData>
    <row r="1" spans="1:6">
      <c r="A1" s="180">
        <v>4</v>
      </c>
      <c r="B1" s="180" t="s">
        <v>319</v>
      </c>
      <c r="C1" s="181"/>
      <c r="D1" s="181"/>
      <c r="E1" s="181"/>
      <c r="F1" s="181"/>
    </row>
    <row r="2" spans="1:6">
      <c r="B2" s="180"/>
    </row>
    <row r="3" spans="1:6" ht="27.6">
      <c r="B3" s="180" t="s">
        <v>255</v>
      </c>
    </row>
    <row r="4" spans="1:6" ht="41.4">
      <c r="B4" s="180" t="s">
        <v>308</v>
      </c>
    </row>
    <row r="5" spans="1:6">
      <c r="B5" s="180"/>
    </row>
    <row r="6" spans="1:6" ht="41.4">
      <c r="B6" s="185" t="s">
        <v>254</v>
      </c>
      <c r="C6" s="186" t="s">
        <v>253</v>
      </c>
      <c r="D6" s="186" t="s">
        <v>252</v>
      </c>
      <c r="E6" s="186" t="s">
        <v>251</v>
      </c>
    </row>
    <row r="7" spans="1:6" ht="69">
      <c r="A7" s="183" t="s">
        <v>250</v>
      </c>
      <c r="B7" s="185" t="s">
        <v>249</v>
      </c>
      <c r="D7" s="238"/>
    </row>
    <row r="8" spans="1:6">
      <c r="B8" s="187" t="s">
        <v>248</v>
      </c>
      <c r="D8" s="238"/>
    </row>
    <row r="9" spans="1:6" ht="15.6">
      <c r="B9" s="185" t="s">
        <v>238</v>
      </c>
      <c r="C9" s="184">
        <v>49.3</v>
      </c>
      <c r="D9" s="238"/>
      <c r="E9" s="170">
        <f>ROUND(C9*D9,2)</f>
        <v>0</v>
      </c>
    </row>
    <row r="10" spans="1:6">
      <c r="D10" s="238"/>
    </row>
    <row r="11" spans="1:6" ht="41.4">
      <c r="A11" s="183" t="s">
        <v>247</v>
      </c>
      <c r="B11" s="185" t="s">
        <v>246</v>
      </c>
      <c r="D11" s="238"/>
    </row>
    <row r="12" spans="1:6">
      <c r="B12" s="187" t="s">
        <v>235</v>
      </c>
      <c r="D12" s="238"/>
    </row>
    <row r="13" spans="1:6" ht="15.6">
      <c r="B13" s="185" t="s">
        <v>228</v>
      </c>
      <c r="C13" s="184">
        <v>352</v>
      </c>
      <c r="D13" s="238"/>
      <c r="E13" s="170">
        <f>ROUND(C13*D13,2)</f>
        <v>0</v>
      </c>
    </row>
    <row r="14" spans="1:6">
      <c r="D14" s="238"/>
    </row>
    <row r="15" spans="1:6" ht="41.4">
      <c r="A15" s="183" t="s">
        <v>245</v>
      </c>
      <c r="B15" s="185" t="s">
        <v>244</v>
      </c>
      <c r="D15" s="238"/>
    </row>
    <row r="16" spans="1:6">
      <c r="B16" s="187" t="s">
        <v>235</v>
      </c>
      <c r="D16" s="238"/>
    </row>
    <row r="17" spans="1:5" ht="15.6">
      <c r="B17" s="185" t="s">
        <v>228</v>
      </c>
      <c r="C17" s="184">
        <v>352</v>
      </c>
      <c r="D17" s="238"/>
      <c r="E17" s="170">
        <f>ROUND(C17*D17,2)</f>
        <v>0</v>
      </c>
    </row>
    <row r="18" spans="1:5">
      <c r="D18" s="238"/>
    </row>
    <row r="19" spans="1:5" ht="41.4">
      <c r="A19" s="183" t="s">
        <v>243</v>
      </c>
      <c r="B19" s="185" t="s">
        <v>242</v>
      </c>
      <c r="D19" s="238"/>
    </row>
    <row r="20" spans="1:5">
      <c r="B20" s="187" t="s">
        <v>235</v>
      </c>
      <c r="D20" s="238"/>
    </row>
    <row r="21" spans="1:5" ht="15.6">
      <c r="B21" s="185" t="s">
        <v>228</v>
      </c>
      <c r="C21" s="184">
        <v>352</v>
      </c>
      <c r="D21" s="238"/>
      <c r="E21" s="170">
        <f>ROUND(C21*D21,2)</f>
        <v>0</v>
      </c>
    </row>
    <row r="22" spans="1:5">
      <c r="D22" s="238"/>
    </row>
    <row r="23" spans="1:5" ht="55.2">
      <c r="A23" s="183" t="s">
        <v>241</v>
      </c>
      <c r="B23" s="185" t="s">
        <v>240</v>
      </c>
      <c r="D23" s="238"/>
    </row>
    <row r="24" spans="1:5">
      <c r="B24" s="187" t="s">
        <v>239</v>
      </c>
      <c r="D24" s="238"/>
    </row>
    <row r="25" spans="1:5" ht="15.6">
      <c r="B25" s="185" t="s">
        <v>238</v>
      </c>
      <c r="C25" s="184">
        <v>59.14</v>
      </c>
      <c r="D25" s="238"/>
      <c r="E25" s="170">
        <f>ROUND(C25*D25,2)</f>
        <v>0</v>
      </c>
    </row>
    <row r="26" spans="1:5">
      <c r="D26" s="238"/>
    </row>
    <row r="27" spans="1:5" ht="55.2">
      <c r="A27" s="183" t="s">
        <v>237</v>
      </c>
      <c r="B27" s="185" t="s">
        <v>236</v>
      </c>
      <c r="D27" s="238"/>
    </row>
    <row r="28" spans="1:5">
      <c r="B28" s="187" t="s">
        <v>235</v>
      </c>
      <c r="D28" s="238"/>
    </row>
    <row r="29" spans="1:5" ht="15.6">
      <c r="B29" s="185" t="s">
        <v>228</v>
      </c>
      <c r="C29" s="184">
        <v>352</v>
      </c>
      <c r="D29" s="238"/>
      <c r="E29" s="170">
        <f>ROUND(C29*D29,2)</f>
        <v>0</v>
      </c>
    </row>
    <row r="30" spans="1:5">
      <c r="D30" s="238"/>
    </row>
    <row r="31" spans="1:5" ht="82.8">
      <c r="A31" s="183" t="s">
        <v>234</v>
      </c>
      <c r="B31" s="185" t="s">
        <v>233</v>
      </c>
      <c r="D31" s="238"/>
    </row>
    <row r="32" spans="1:5">
      <c r="B32" s="185" t="s">
        <v>9</v>
      </c>
      <c r="C32" s="184">
        <v>350</v>
      </c>
      <c r="D32" s="238"/>
      <c r="E32" s="170">
        <f>ROUND(C32*D32,2)</f>
        <v>0</v>
      </c>
    </row>
    <row r="33" spans="1:8">
      <c r="D33" s="238"/>
    </row>
    <row r="34" spans="1:8" ht="69">
      <c r="A34" s="183" t="s">
        <v>232</v>
      </c>
      <c r="B34" s="185" t="s">
        <v>231</v>
      </c>
      <c r="D34" s="238"/>
    </row>
    <row r="35" spans="1:8" ht="15.6">
      <c r="B35" s="185" t="s">
        <v>228</v>
      </c>
      <c r="C35" s="184">
        <v>350</v>
      </c>
      <c r="D35" s="238"/>
      <c r="E35" s="170">
        <f>ROUND(C35*D35,2)</f>
        <v>0</v>
      </c>
    </row>
    <row r="36" spans="1:8">
      <c r="D36" s="238"/>
    </row>
    <row r="37" spans="1:8" ht="55.2">
      <c r="A37" s="183" t="s">
        <v>230</v>
      </c>
      <c r="B37" s="185" t="s">
        <v>229</v>
      </c>
      <c r="D37" s="238"/>
    </row>
    <row r="38" spans="1:8" ht="15.6">
      <c r="B38" s="185" t="s">
        <v>228</v>
      </c>
      <c r="C38" s="184">
        <v>350</v>
      </c>
      <c r="D38" s="238"/>
      <c r="E38" s="170">
        <f>ROUND(C38*D38,2)</f>
        <v>0</v>
      </c>
    </row>
    <row r="39" spans="1:8">
      <c r="D39" s="238"/>
    </row>
    <row r="40" spans="1:8" ht="69">
      <c r="A40" s="183" t="s">
        <v>227</v>
      </c>
      <c r="B40" s="185" t="s">
        <v>226</v>
      </c>
      <c r="D40" s="238"/>
    </row>
    <row r="41" spans="1:8">
      <c r="B41" s="187" t="s">
        <v>225</v>
      </c>
      <c r="D41" s="238"/>
    </row>
    <row r="42" spans="1:8" ht="15.6">
      <c r="B42" s="185" t="s">
        <v>224</v>
      </c>
      <c r="C42" s="184">
        <v>264</v>
      </c>
      <c r="D42" s="238"/>
      <c r="E42" s="170">
        <f>ROUND(C42*D42,2)</f>
        <v>0</v>
      </c>
    </row>
    <row r="43" spans="1:8">
      <c r="D43" s="238"/>
    </row>
    <row r="44" spans="1:8" ht="69">
      <c r="A44" s="183" t="s">
        <v>223</v>
      </c>
      <c r="B44" s="185" t="s">
        <v>222</v>
      </c>
      <c r="D44" s="238"/>
    </row>
    <row r="45" spans="1:8">
      <c r="B45" s="185" t="s">
        <v>221</v>
      </c>
      <c r="C45" s="184">
        <v>7500</v>
      </c>
      <c r="D45" s="238"/>
      <c r="E45" s="170">
        <f>ROUND(C45*D45,2)</f>
        <v>0</v>
      </c>
    </row>
    <row r="46" spans="1:8">
      <c r="D46" s="238"/>
    </row>
    <row r="47" spans="1:8" ht="41.4">
      <c r="A47" s="183" t="s">
        <v>220</v>
      </c>
      <c r="B47" s="185" t="s">
        <v>219</v>
      </c>
      <c r="D47" s="238"/>
      <c r="H47" s="188"/>
    </row>
    <row r="48" spans="1:8">
      <c r="B48" s="185" t="s">
        <v>4</v>
      </c>
      <c r="C48" s="184">
        <v>5</v>
      </c>
      <c r="D48" s="238"/>
      <c r="E48" s="170">
        <f>ROUND(C48*D48,2)</f>
        <v>0</v>
      </c>
    </row>
    <row r="50" spans="1:5" ht="14.4" thickBot="1"/>
    <row r="51" spans="1:5" ht="14.4" thickTop="1">
      <c r="A51" s="189"/>
      <c r="B51" s="190" t="s">
        <v>0</v>
      </c>
      <c r="C51" s="191"/>
      <c r="D51" s="191"/>
      <c r="E51" s="191">
        <f>SUM(E7:E50)</f>
        <v>0</v>
      </c>
    </row>
  </sheetData>
  <sheetProtection algorithmName="SHA-512" hashValue="dFnVGX8bFAh3h9aUGm5FE3vC1hvOlr38upVOjTfq+vPTa7vDvO7Bm+ToQGX7tEkAeeba/FntHL7DTMNuUNxzTQ==" saltValue="tSdU9fn1dBRWGgdgtwIB9w==" spinCount="100000" sheet="1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&amp;Lver. 2020-12-02&amp;C&amp;8&amp;P/&amp;N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57998-3EB2-4338-ACD7-BFBFC80B359F}">
  <dimension ref="A1:H67"/>
  <sheetViews>
    <sheetView zoomScaleNormal="100" zoomScaleSheetLayoutView="100" workbookViewId="0">
      <selection activeCell="E9" sqref="E9"/>
    </sheetView>
  </sheetViews>
  <sheetFormatPr defaultRowHeight="13.8"/>
  <cols>
    <col min="1" max="1" width="4.6640625" style="183" customWidth="1"/>
    <col min="2" max="2" width="51.5546875" style="185" customWidth="1"/>
    <col min="3" max="3" width="7.44140625" style="184" bestFit="1" customWidth="1"/>
    <col min="4" max="5" width="11.5546875" style="184" bestFit="1" customWidth="1"/>
    <col min="6" max="256" width="9.109375" style="182"/>
    <col min="257" max="257" width="4.6640625" style="182" customWidth="1"/>
    <col min="258" max="258" width="43.109375" style="182" customWidth="1"/>
    <col min="259" max="259" width="9" style="182" customWidth="1"/>
    <col min="260" max="261" width="16.6640625" style="182" customWidth="1"/>
    <col min="262" max="512" width="9.109375" style="182"/>
    <col min="513" max="513" width="4.6640625" style="182" customWidth="1"/>
    <col min="514" max="514" width="43.109375" style="182" customWidth="1"/>
    <col min="515" max="515" width="9" style="182" customWidth="1"/>
    <col min="516" max="517" width="16.6640625" style="182" customWidth="1"/>
    <col min="518" max="768" width="9.109375" style="182"/>
    <col min="769" max="769" width="4.6640625" style="182" customWidth="1"/>
    <col min="770" max="770" width="43.109375" style="182" customWidth="1"/>
    <col min="771" max="771" width="9" style="182" customWidth="1"/>
    <col min="772" max="773" width="16.6640625" style="182" customWidth="1"/>
    <col min="774" max="1024" width="9.109375" style="182"/>
    <col min="1025" max="1025" width="4.6640625" style="182" customWidth="1"/>
    <col min="1026" max="1026" width="43.109375" style="182" customWidth="1"/>
    <col min="1027" max="1027" width="9" style="182" customWidth="1"/>
    <col min="1028" max="1029" width="16.6640625" style="182" customWidth="1"/>
    <col min="1030" max="1280" width="9.109375" style="182"/>
    <col min="1281" max="1281" width="4.6640625" style="182" customWidth="1"/>
    <col min="1282" max="1282" width="43.109375" style="182" customWidth="1"/>
    <col min="1283" max="1283" width="9" style="182" customWidth="1"/>
    <col min="1284" max="1285" width="16.6640625" style="182" customWidth="1"/>
    <col min="1286" max="1536" width="9.109375" style="182"/>
    <col min="1537" max="1537" width="4.6640625" style="182" customWidth="1"/>
    <col min="1538" max="1538" width="43.109375" style="182" customWidth="1"/>
    <col min="1539" max="1539" width="9" style="182" customWidth="1"/>
    <col min="1540" max="1541" width="16.6640625" style="182" customWidth="1"/>
    <col min="1542" max="1792" width="9.109375" style="182"/>
    <col min="1793" max="1793" width="4.6640625" style="182" customWidth="1"/>
    <col min="1794" max="1794" width="43.109375" style="182" customWidth="1"/>
    <col min="1795" max="1795" width="9" style="182" customWidth="1"/>
    <col min="1796" max="1797" width="16.6640625" style="182" customWidth="1"/>
    <col min="1798" max="2048" width="9.109375" style="182"/>
    <col min="2049" max="2049" width="4.6640625" style="182" customWidth="1"/>
    <col min="2050" max="2050" width="43.109375" style="182" customWidth="1"/>
    <col min="2051" max="2051" width="9" style="182" customWidth="1"/>
    <col min="2052" max="2053" width="16.6640625" style="182" customWidth="1"/>
    <col min="2054" max="2304" width="9.109375" style="182"/>
    <col min="2305" max="2305" width="4.6640625" style="182" customWidth="1"/>
    <col min="2306" max="2306" width="43.109375" style="182" customWidth="1"/>
    <col min="2307" max="2307" width="9" style="182" customWidth="1"/>
    <col min="2308" max="2309" width="16.6640625" style="182" customWidth="1"/>
    <col min="2310" max="2560" width="9.109375" style="182"/>
    <col min="2561" max="2561" width="4.6640625" style="182" customWidth="1"/>
    <col min="2562" max="2562" width="43.109375" style="182" customWidth="1"/>
    <col min="2563" max="2563" width="9" style="182" customWidth="1"/>
    <col min="2564" max="2565" width="16.6640625" style="182" customWidth="1"/>
    <col min="2566" max="2816" width="9.109375" style="182"/>
    <col min="2817" max="2817" width="4.6640625" style="182" customWidth="1"/>
    <col min="2818" max="2818" width="43.109375" style="182" customWidth="1"/>
    <col min="2819" max="2819" width="9" style="182" customWidth="1"/>
    <col min="2820" max="2821" width="16.6640625" style="182" customWidth="1"/>
    <col min="2822" max="3072" width="9.109375" style="182"/>
    <col min="3073" max="3073" width="4.6640625" style="182" customWidth="1"/>
    <col min="3074" max="3074" width="43.109375" style="182" customWidth="1"/>
    <col min="3075" max="3075" width="9" style="182" customWidth="1"/>
    <col min="3076" max="3077" width="16.6640625" style="182" customWidth="1"/>
    <col min="3078" max="3328" width="9.109375" style="182"/>
    <col min="3329" max="3329" width="4.6640625" style="182" customWidth="1"/>
    <col min="3330" max="3330" width="43.109375" style="182" customWidth="1"/>
    <col min="3331" max="3331" width="9" style="182" customWidth="1"/>
    <col min="3332" max="3333" width="16.6640625" style="182" customWidth="1"/>
    <col min="3334" max="3584" width="9.109375" style="182"/>
    <col min="3585" max="3585" width="4.6640625" style="182" customWidth="1"/>
    <col min="3586" max="3586" width="43.109375" style="182" customWidth="1"/>
    <col min="3587" max="3587" width="9" style="182" customWidth="1"/>
    <col min="3588" max="3589" width="16.6640625" style="182" customWidth="1"/>
    <col min="3590" max="3840" width="9.109375" style="182"/>
    <col min="3841" max="3841" width="4.6640625" style="182" customWidth="1"/>
    <col min="3842" max="3842" width="43.109375" style="182" customWidth="1"/>
    <col min="3843" max="3843" width="9" style="182" customWidth="1"/>
    <col min="3844" max="3845" width="16.6640625" style="182" customWidth="1"/>
    <col min="3846" max="4096" width="9.109375" style="182"/>
    <col min="4097" max="4097" width="4.6640625" style="182" customWidth="1"/>
    <col min="4098" max="4098" width="43.109375" style="182" customWidth="1"/>
    <col min="4099" max="4099" width="9" style="182" customWidth="1"/>
    <col min="4100" max="4101" width="16.6640625" style="182" customWidth="1"/>
    <col min="4102" max="4352" width="9.109375" style="182"/>
    <col min="4353" max="4353" width="4.6640625" style="182" customWidth="1"/>
    <col min="4354" max="4354" width="43.109375" style="182" customWidth="1"/>
    <col min="4355" max="4355" width="9" style="182" customWidth="1"/>
    <col min="4356" max="4357" width="16.6640625" style="182" customWidth="1"/>
    <col min="4358" max="4608" width="9.109375" style="182"/>
    <col min="4609" max="4609" width="4.6640625" style="182" customWidth="1"/>
    <col min="4610" max="4610" width="43.109375" style="182" customWidth="1"/>
    <col min="4611" max="4611" width="9" style="182" customWidth="1"/>
    <col min="4612" max="4613" width="16.6640625" style="182" customWidth="1"/>
    <col min="4614" max="4864" width="9.109375" style="182"/>
    <col min="4865" max="4865" width="4.6640625" style="182" customWidth="1"/>
    <col min="4866" max="4866" width="43.109375" style="182" customWidth="1"/>
    <col min="4867" max="4867" width="9" style="182" customWidth="1"/>
    <col min="4868" max="4869" width="16.6640625" style="182" customWidth="1"/>
    <col min="4870" max="5120" width="9.109375" style="182"/>
    <col min="5121" max="5121" width="4.6640625" style="182" customWidth="1"/>
    <col min="5122" max="5122" width="43.109375" style="182" customWidth="1"/>
    <col min="5123" max="5123" width="9" style="182" customWidth="1"/>
    <col min="5124" max="5125" width="16.6640625" style="182" customWidth="1"/>
    <col min="5126" max="5376" width="9.109375" style="182"/>
    <col min="5377" max="5377" width="4.6640625" style="182" customWidth="1"/>
    <col min="5378" max="5378" width="43.109375" style="182" customWidth="1"/>
    <col min="5379" max="5379" width="9" style="182" customWidth="1"/>
    <col min="5380" max="5381" width="16.6640625" style="182" customWidth="1"/>
    <col min="5382" max="5632" width="9.109375" style="182"/>
    <col min="5633" max="5633" width="4.6640625" style="182" customWidth="1"/>
    <col min="5634" max="5634" width="43.109375" style="182" customWidth="1"/>
    <col min="5635" max="5635" width="9" style="182" customWidth="1"/>
    <col min="5636" max="5637" width="16.6640625" style="182" customWidth="1"/>
    <col min="5638" max="5888" width="9.109375" style="182"/>
    <col min="5889" max="5889" width="4.6640625" style="182" customWidth="1"/>
    <col min="5890" max="5890" width="43.109375" style="182" customWidth="1"/>
    <col min="5891" max="5891" width="9" style="182" customWidth="1"/>
    <col min="5892" max="5893" width="16.6640625" style="182" customWidth="1"/>
    <col min="5894" max="6144" width="9.109375" style="182"/>
    <col min="6145" max="6145" width="4.6640625" style="182" customWidth="1"/>
    <col min="6146" max="6146" width="43.109375" style="182" customWidth="1"/>
    <col min="6147" max="6147" width="9" style="182" customWidth="1"/>
    <col min="6148" max="6149" width="16.6640625" style="182" customWidth="1"/>
    <col min="6150" max="6400" width="9.109375" style="182"/>
    <col min="6401" max="6401" width="4.6640625" style="182" customWidth="1"/>
    <col min="6402" max="6402" width="43.109375" style="182" customWidth="1"/>
    <col min="6403" max="6403" width="9" style="182" customWidth="1"/>
    <col min="6404" max="6405" width="16.6640625" style="182" customWidth="1"/>
    <col min="6406" max="6656" width="9.109375" style="182"/>
    <col min="6657" max="6657" width="4.6640625" style="182" customWidth="1"/>
    <col min="6658" max="6658" width="43.109375" style="182" customWidth="1"/>
    <col min="6659" max="6659" width="9" style="182" customWidth="1"/>
    <col min="6660" max="6661" width="16.6640625" style="182" customWidth="1"/>
    <col min="6662" max="6912" width="9.109375" style="182"/>
    <col min="6913" max="6913" width="4.6640625" style="182" customWidth="1"/>
    <col min="6914" max="6914" width="43.109375" style="182" customWidth="1"/>
    <col min="6915" max="6915" width="9" style="182" customWidth="1"/>
    <col min="6916" max="6917" width="16.6640625" style="182" customWidth="1"/>
    <col min="6918" max="7168" width="9.109375" style="182"/>
    <col min="7169" max="7169" width="4.6640625" style="182" customWidth="1"/>
    <col min="7170" max="7170" width="43.109375" style="182" customWidth="1"/>
    <col min="7171" max="7171" width="9" style="182" customWidth="1"/>
    <col min="7172" max="7173" width="16.6640625" style="182" customWidth="1"/>
    <col min="7174" max="7424" width="9.109375" style="182"/>
    <col min="7425" max="7425" width="4.6640625" style="182" customWidth="1"/>
    <col min="7426" max="7426" width="43.109375" style="182" customWidth="1"/>
    <col min="7427" max="7427" width="9" style="182" customWidth="1"/>
    <col min="7428" max="7429" width="16.6640625" style="182" customWidth="1"/>
    <col min="7430" max="7680" width="9.109375" style="182"/>
    <col min="7681" max="7681" width="4.6640625" style="182" customWidth="1"/>
    <col min="7682" max="7682" width="43.109375" style="182" customWidth="1"/>
    <col min="7683" max="7683" width="9" style="182" customWidth="1"/>
    <col min="7684" max="7685" width="16.6640625" style="182" customWidth="1"/>
    <col min="7686" max="7936" width="9.109375" style="182"/>
    <col min="7937" max="7937" width="4.6640625" style="182" customWidth="1"/>
    <col min="7938" max="7938" width="43.109375" style="182" customWidth="1"/>
    <col min="7939" max="7939" width="9" style="182" customWidth="1"/>
    <col min="7940" max="7941" width="16.6640625" style="182" customWidth="1"/>
    <col min="7942" max="8192" width="9.109375" style="182"/>
    <col min="8193" max="8193" width="4.6640625" style="182" customWidth="1"/>
    <col min="8194" max="8194" width="43.109375" style="182" customWidth="1"/>
    <col min="8195" max="8195" width="9" style="182" customWidth="1"/>
    <col min="8196" max="8197" width="16.6640625" style="182" customWidth="1"/>
    <col min="8198" max="8448" width="9.109375" style="182"/>
    <col min="8449" max="8449" width="4.6640625" style="182" customWidth="1"/>
    <col min="8450" max="8450" width="43.109375" style="182" customWidth="1"/>
    <col min="8451" max="8451" width="9" style="182" customWidth="1"/>
    <col min="8452" max="8453" width="16.6640625" style="182" customWidth="1"/>
    <col min="8454" max="8704" width="9.109375" style="182"/>
    <col min="8705" max="8705" width="4.6640625" style="182" customWidth="1"/>
    <col min="8706" max="8706" width="43.109375" style="182" customWidth="1"/>
    <col min="8707" max="8707" width="9" style="182" customWidth="1"/>
    <col min="8708" max="8709" width="16.6640625" style="182" customWidth="1"/>
    <col min="8710" max="8960" width="9.109375" style="182"/>
    <col min="8961" max="8961" width="4.6640625" style="182" customWidth="1"/>
    <col min="8962" max="8962" width="43.109375" style="182" customWidth="1"/>
    <col min="8963" max="8963" width="9" style="182" customWidth="1"/>
    <col min="8964" max="8965" width="16.6640625" style="182" customWidth="1"/>
    <col min="8966" max="9216" width="9.109375" style="182"/>
    <col min="9217" max="9217" width="4.6640625" style="182" customWidth="1"/>
    <col min="9218" max="9218" width="43.109375" style="182" customWidth="1"/>
    <col min="9219" max="9219" width="9" style="182" customWidth="1"/>
    <col min="9220" max="9221" width="16.6640625" style="182" customWidth="1"/>
    <col min="9222" max="9472" width="9.109375" style="182"/>
    <col min="9473" max="9473" width="4.6640625" style="182" customWidth="1"/>
    <col min="9474" max="9474" width="43.109375" style="182" customWidth="1"/>
    <col min="9475" max="9475" width="9" style="182" customWidth="1"/>
    <col min="9476" max="9477" width="16.6640625" style="182" customWidth="1"/>
    <col min="9478" max="9728" width="9.109375" style="182"/>
    <col min="9729" max="9729" width="4.6640625" style="182" customWidth="1"/>
    <col min="9730" max="9730" width="43.109375" style="182" customWidth="1"/>
    <col min="9731" max="9731" width="9" style="182" customWidth="1"/>
    <col min="9732" max="9733" width="16.6640625" style="182" customWidth="1"/>
    <col min="9734" max="9984" width="9.109375" style="182"/>
    <col min="9985" max="9985" width="4.6640625" style="182" customWidth="1"/>
    <col min="9986" max="9986" width="43.109375" style="182" customWidth="1"/>
    <col min="9987" max="9987" width="9" style="182" customWidth="1"/>
    <col min="9988" max="9989" width="16.6640625" style="182" customWidth="1"/>
    <col min="9990" max="10240" width="9.109375" style="182"/>
    <col min="10241" max="10241" width="4.6640625" style="182" customWidth="1"/>
    <col min="10242" max="10242" width="43.109375" style="182" customWidth="1"/>
    <col min="10243" max="10243" width="9" style="182" customWidth="1"/>
    <col min="10244" max="10245" width="16.6640625" style="182" customWidth="1"/>
    <col min="10246" max="10496" width="9.109375" style="182"/>
    <col min="10497" max="10497" width="4.6640625" style="182" customWidth="1"/>
    <col min="10498" max="10498" width="43.109375" style="182" customWidth="1"/>
    <col min="10499" max="10499" width="9" style="182" customWidth="1"/>
    <col min="10500" max="10501" width="16.6640625" style="182" customWidth="1"/>
    <col min="10502" max="10752" width="9.109375" style="182"/>
    <col min="10753" max="10753" width="4.6640625" style="182" customWidth="1"/>
    <col min="10754" max="10754" width="43.109375" style="182" customWidth="1"/>
    <col min="10755" max="10755" width="9" style="182" customWidth="1"/>
    <col min="10756" max="10757" width="16.6640625" style="182" customWidth="1"/>
    <col min="10758" max="11008" width="9.109375" style="182"/>
    <col min="11009" max="11009" width="4.6640625" style="182" customWidth="1"/>
    <col min="11010" max="11010" width="43.109375" style="182" customWidth="1"/>
    <col min="11011" max="11011" width="9" style="182" customWidth="1"/>
    <col min="11012" max="11013" width="16.6640625" style="182" customWidth="1"/>
    <col min="11014" max="11264" width="9.109375" style="182"/>
    <col min="11265" max="11265" width="4.6640625" style="182" customWidth="1"/>
    <col min="11266" max="11266" width="43.109375" style="182" customWidth="1"/>
    <col min="11267" max="11267" width="9" style="182" customWidth="1"/>
    <col min="11268" max="11269" width="16.6640625" style="182" customWidth="1"/>
    <col min="11270" max="11520" width="9.109375" style="182"/>
    <col min="11521" max="11521" width="4.6640625" style="182" customWidth="1"/>
    <col min="11522" max="11522" width="43.109375" style="182" customWidth="1"/>
    <col min="11523" max="11523" width="9" style="182" customWidth="1"/>
    <col min="11524" max="11525" width="16.6640625" style="182" customWidth="1"/>
    <col min="11526" max="11776" width="9.109375" style="182"/>
    <col min="11777" max="11777" width="4.6640625" style="182" customWidth="1"/>
    <col min="11778" max="11778" width="43.109375" style="182" customWidth="1"/>
    <col min="11779" max="11779" width="9" style="182" customWidth="1"/>
    <col min="11780" max="11781" width="16.6640625" style="182" customWidth="1"/>
    <col min="11782" max="12032" width="9.109375" style="182"/>
    <col min="12033" max="12033" width="4.6640625" style="182" customWidth="1"/>
    <col min="12034" max="12034" width="43.109375" style="182" customWidth="1"/>
    <col min="12035" max="12035" width="9" style="182" customWidth="1"/>
    <col min="12036" max="12037" width="16.6640625" style="182" customWidth="1"/>
    <col min="12038" max="12288" width="9.109375" style="182"/>
    <col min="12289" max="12289" width="4.6640625" style="182" customWidth="1"/>
    <col min="12290" max="12290" width="43.109375" style="182" customWidth="1"/>
    <col min="12291" max="12291" width="9" style="182" customWidth="1"/>
    <col min="12292" max="12293" width="16.6640625" style="182" customWidth="1"/>
    <col min="12294" max="12544" width="9.109375" style="182"/>
    <col min="12545" max="12545" width="4.6640625" style="182" customWidth="1"/>
    <col min="12546" max="12546" width="43.109375" style="182" customWidth="1"/>
    <col min="12547" max="12547" width="9" style="182" customWidth="1"/>
    <col min="12548" max="12549" width="16.6640625" style="182" customWidth="1"/>
    <col min="12550" max="12800" width="9.109375" style="182"/>
    <col min="12801" max="12801" width="4.6640625" style="182" customWidth="1"/>
    <col min="12802" max="12802" width="43.109375" style="182" customWidth="1"/>
    <col min="12803" max="12803" width="9" style="182" customWidth="1"/>
    <col min="12804" max="12805" width="16.6640625" style="182" customWidth="1"/>
    <col min="12806" max="13056" width="9.109375" style="182"/>
    <col min="13057" max="13057" width="4.6640625" style="182" customWidth="1"/>
    <col min="13058" max="13058" width="43.109375" style="182" customWidth="1"/>
    <col min="13059" max="13059" width="9" style="182" customWidth="1"/>
    <col min="13060" max="13061" width="16.6640625" style="182" customWidth="1"/>
    <col min="13062" max="13312" width="9.109375" style="182"/>
    <col min="13313" max="13313" width="4.6640625" style="182" customWidth="1"/>
    <col min="13314" max="13314" width="43.109375" style="182" customWidth="1"/>
    <col min="13315" max="13315" width="9" style="182" customWidth="1"/>
    <col min="13316" max="13317" width="16.6640625" style="182" customWidth="1"/>
    <col min="13318" max="13568" width="9.109375" style="182"/>
    <col min="13569" max="13569" width="4.6640625" style="182" customWidth="1"/>
    <col min="13570" max="13570" width="43.109375" style="182" customWidth="1"/>
    <col min="13571" max="13571" width="9" style="182" customWidth="1"/>
    <col min="13572" max="13573" width="16.6640625" style="182" customWidth="1"/>
    <col min="13574" max="13824" width="9.109375" style="182"/>
    <col min="13825" max="13825" width="4.6640625" style="182" customWidth="1"/>
    <col min="13826" max="13826" width="43.109375" style="182" customWidth="1"/>
    <col min="13827" max="13827" width="9" style="182" customWidth="1"/>
    <col min="13828" max="13829" width="16.6640625" style="182" customWidth="1"/>
    <col min="13830" max="14080" width="9.109375" style="182"/>
    <col min="14081" max="14081" width="4.6640625" style="182" customWidth="1"/>
    <col min="14082" max="14082" width="43.109375" style="182" customWidth="1"/>
    <col min="14083" max="14083" width="9" style="182" customWidth="1"/>
    <col min="14084" max="14085" width="16.6640625" style="182" customWidth="1"/>
    <col min="14086" max="14336" width="9.109375" style="182"/>
    <col min="14337" max="14337" width="4.6640625" style="182" customWidth="1"/>
    <col min="14338" max="14338" width="43.109375" style="182" customWidth="1"/>
    <col min="14339" max="14339" width="9" style="182" customWidth="1"/>
    <col min="14340" max="14341" width="16.6640625" style="182" customWidth="1"/>
    <col min="14342" max="14592" width="9.109375" style="182"/>
    <col min="14593" max="14593" width="4.6640625" style="182" customWidth="1"/>
    <col min="14594" max="14594" width="43.109375" style="182" customWidth="1"/>
    <col min="14595" max="14595" width="9" style="182" customWidth="1"/>
    <col min="14596" max="14597" width="16.6640625" style="182" customWidth="1"/>
    <col min="14598" max="14848" width="9.109375" style="182"/>
    <col min="14849" max="14849" width="4.6640625" style="182" customWidth="1"/>
    <col min="14850" max="14850" width="43.109375" style="182" customWidth="1"/>
    <col min="14851" max="14851" width="9" style="182" customWidth="1"/>
    <col min="14852" max="14853" width="16.6640625" style="182" customWidth="1"/>
    <col min="14854" max="15104" width="9.109375" style="182"/>
    <col min="15105" max="15105" width="4.6640625" style="182" customWidth="1"/>
    <col min="15106" max="15106" width="43.109375" style="182" customWidth="1"/>
    <col min="15107" max="15107" width="9" style="182" customWidth="1"/>
    <col min="15108" max="15109" width="16.6640625" style="182" customWidth="1"/>
    <col min="15110" max="15360" width="9.109375" style="182"/>
    <col min="15361" max="15361" width="4.6640625" style="182" customWidth="1"/>
    <col min="15362" max="15362" width="43.109375" style="182" customWidth="1"/>
    <col min="15363" max="15363" width="9" style="182" customWidth="1"/>
    <col min="15364" max="15365" width="16.6640625" style="182" customWidth="1"/>
    <col min="15366" max="15616" width="9.109375" style="182"/>
    <col min="15617" max="15617" width="4.6640625" style="182" customWidth="1"/>
    <col min="15618" max="15618" width="43.109375" style="182" customWidth="1"/>
    <col min="15619" max="15619" width="9" style="182" customWidth="1"/>
    <col min="15620" max="15621" width="16.6640625" style="182" customWidth="1"/>
    <col min="15622" max="15872" width="9.109375" style="182"/>
    <col min="15873" max="15873" width="4.6640625" style="182" customWidth="1"/>
    <col min="15874" max="15874" width="43.109375" style="182" customWidth="1"/>
    <col min="15875" max="15875" width="9" style="182" customWidth="1"/>
    <col min="15876" max="15877" width="16.6640625" style="182" customWidth="1"/>
    <col min="15878" max="16128" width="9.109375" style="182"/>
    <col min="16129" max="16129" width="4.6640625" style="182" customWidth="1"/>
    <col min="16130" max="16130" width="43.109375" style="182" customWidth="1"/>
    <col min="16131" max="16131" width="9" style="182" customWidth="1"/>
    <col min="16132" max="16133" width="16.6640625" style="182" customWidth="1"/>
    <col min="16134" max="16384" width="9.109375" style="182"/>
  </cols>
  <sheetData>
    <row r="1" spans="1:5">
      <c r="A1" s="180">
        <v>5</v>
      </c>
      <c r="B1" s="247" t="s">
        <v>320</v>
      </c>
      <c r="C1" s="248"/>
      <c r="D1" s="248"/>
    </row>
    <row r="2" spans="1:5">
      <c r="B2" s="180"/>
    </row>
    <row r="3" spans="1:5" ht="27.6">
      <c r="B3" s="180" t="s">
        <v>270</v>
      </c>
    </row>
    <row r="4" spans="1:5" ht="41.4">
      <c r="B4" s="180" t="s">
        <v>308</v>
      </c>
    </row>
    <row r="5" spans="1:5">
      <c r="B5" s="180"/>
    </row>
    <row r="6" spans="1:5" ht="41.4">
      <c r="B6" s="185" t="s">
        <v>254</v>
      </c>
      <c r="C6" s="186" t="s">
        <v>253</v>
      </c>
      <c r="D6" s="186" t="s">
        <v>252</v>
      </c>
      <c r="E6" s="186" t="s">
        <v>251</v>
      </c>
    </row>
    <row r="7" spans="1:5" ht="82.8">
      <c r="A7" s="183" t="s">
        <v>250</v>
      </c>
      <c r="B7" s="185" t="s">
        <v>249</v>
      </c>
      <c r="D7" s="238"/>
    </row>
    <row r="8" spans="1:5">
      <c r="B8" s="187" t="s">
        <v>269</v>
      </c>
      <c r="D8" s="238"/>
    </row>
    <row r="9" spans="1:5" ht="15.6">
      <c r="B9" s="185" t="s">
        <v>238</v>
      </c>
      <c r="C9" s="184">
        <v>14.96</v>
      </c>
      <c r="D9" s="238"/>
      <c r="E9" s="170">
        <f>ROUND(C9*D9,2)</f>
        <v>0</v>
      </c>
    </row>
    <row r="10" spans="1:5">
      <c r="D10" s="238"/>
    </row>
    <row r="11" spans="1:5" ht="41.4">
      <c r="A11" s="183" t="s">
        <v>247</v>
      </c>
      <c r="B11" s="185" t="s">
        <v>246</v>
      </c>
      <c r="D11" s="238"/>
    </row>
    <row r="12" spans="1:5">
      <c r="B12" s="187" t="s">
        <v>267</v>
      </c>
      <c r="D12" s="238"/>
    </row>
    <row r="13" spans="1:5" ht="15.6">
      <c r="B13" s="185" t="s">
        <v>228</v>
      </c>
      <c r="C13" s="184">
        <v>149.6</v>
      </c>
      <c r="D13" s="238"/>
      <c r="E13" s="170">
        <f>ROUND(C13*D13,2)</f>
        <v>0</v>
      </c>
    </row>
    <row r="14" spans="1:5">
      <c r="D14" s="238"/>
    </row>
    <row r="15" spans="1:5" ht="41.4">
      <c r="A15" s="183" t="s">
        <v>245</v>
      </c>
      <c r="B15" s="185" t="s">
        <v>244</v>
      </c>
      <c r="D15" s="238"/>
    </row>
    <row r="16" spans="1:5">
      <c r="B16" s="187" t="s">
        <v>267</v>
      </c>
      <c r="D16" s="238"/>
    </row>
    <row r="17" spans="1:5" ht="15.6">
      <c r="B17" s="185" t="s">
        <v>228</v>
      </c>
      <c r="C17" s="184">
        <v>149.6</v>
      </c>
      <c r="D17" s="238"/>
      <c r="E17" s="170">
        <f>ROUND(C17*D17,2)</f>
        <v>0</v>
      </c>
    </row>
    <row r="18" spans="1:5">
      <c r="D18" s="238"/>
    </row>
    <row r="19" spans="1:5" ht="41.4">
      <c r="A19" s="183" t="s">
        <v>243</v>
      </c>
      <c r="B19" s="185" t="s">
        <v>242</v>
      </c>
      <c r="D19" s="238"/>
    </row>
    <row r="20" spans="1:5">
      <c r="B20" s="187" t="s">
        <v>267</v>
      </c>
      <c r="D20" s="238"/>
    </row>
    <row r="21" spans="1:5" ht="15.6">
      <c r="B21" s="185" t="s">
        <v>228</v>
      </c>
      <c r="C21" s="184">
        <v>149.6</v>
      </c>
      <c r="D21" s="238"/>
      <c r="E21" s="170">
        <f>ROUND(C21*D21,2)</f>
        <v>0</v>
      </c>
    </row>
    <row r="22" spans="1:5">
      <c r="D22" s="238"/>
    </row>
    <row r="23" spans="1:5" ht="55.2">
      <c r="A23" s="183" t="s">
        <v>241</v>
      </c>
      <c r="B23" s="185" t="s">
        <v>240</v>
      </c>
      <c r="D23" s="238"/>
    </row>
    <row r="24" spans="1:5">
      <c r="B24" s="187" t="s">
        <v>268</v>
      </c>
      <c r="D24" s="238"/>
    </row>
    <row r="25" spans="1:5" ht="15.6">
      <c r="B25" s="185" t="s">
        <v>238</v>
      </c>
      <c r="C25" s="184">
        <v>18</v>
      </c>
      <c r="D25" s="238"/>
      <c r="E25" s="170">
        <f>ROUND(C25*D25,2)</f>
        <v>0</v>
      </c>
    </row>
    <row r="26" spans="1:5">
      <c r="D26" s="238"/>
    </row>
    <row r="27" spans="1:5" ht="55.2">
      <c r="A27" s="183" t="s">
        <v>237</v>
      </c>
      <c r="B27" s="185" t="s">
        <v>236</v>
      </c>
      <c r="D27" s="238"/>
    </row>
    <row r="28" spans="1:5">
      <c r="B28" s="187" t="s">
        <v>267</v>
      </c>
      <c r="D28" s="238"/>
    </row>
    <row r="29" spans="1:5" ht="15.6">
      <c r="B29" s="185" t="s">
        <v>228</v>
      </c>
      <c r="C29" s="184">
        <v>149.6</v>
      </c>
      <c r="D29" s="238"/>
      <c r="E29" s="170">
        <f>ROUND(C29*D29,2)</f>
        <v>0</v>
      </c>
    </row>
    <row r="30" spans="1:5">
      <c r="D30" s="238"/>
    </row>
    <row r="31" spans="1:5" ht="82.8">
      <c r="A31" s="183" t="s">
        <v>234</v>
      </c>
      <c r="B31" s="185" t="s">
        <v>266</v>
      </c>
      <c r="D31" s="238"/>
    </row>
    <row r="32" spans="1:5">
      <c r="B32" s="185" t="s">
        <v>9</v>
      </c>
      <c r="C32" s="184">
        <v>50</v>
      </c>
      <c r="D32" s="238"/>
      <c r="E32" s="170">
        <f>ROUND(C32*D32,2)</f>
        <v>0</v>
      </c>
    </row>
    <row r="33" spans="1:5">
      <c r="D33" s="238"/>
    </row>
    <row r="34" spans="1:5" ht="69">
      <c r="A34" s="183" t="s">
        <v>232</v>
      </c>
      <c r="B34" s="185" t="s">
        <v>265</v>
      </c>
      <c r="D34" s="238"/>
    </row>
    <row r="35" spans="1:5" ht="15.6">
      <c r="B35" s="185" t="s">
        <v>228</v>
      </c>
      <c r="C35" s="184">
        <v>50</v>
      </c>
      <c r="D35" s="238"/>
      <c r="E35" s="170">
        <f>ROUND(C35*D35,2)</f>
        <v>0</v>
      </c>
    </row>
    <row r="36" spans="1:5">
      <c r="D36" s="238"/>
    </row>
    <row r="37" spans="1:5" ht="55.2">
      <c r="A37" s="183" t="s">
        <v>230</v>
      </c>
      <c r="B37" s="185" t="s">
        <v>264</v>
      </c>
      <c r="D37" s="238"/>
    </row>
    <row r="38" spans="1:5" ht="15.6">
      <c r="B38" s="185" t="s">
        <v>228</v>
      </c>
      <c r="C38" s="184">
        <v>80</v>
      </c>
      <c r="D38" s="238"/>
      <c r="E38" s="170">
        <f>ROUND(C38*D38,2)</f>
        <v>0</v>
      </c>
    </row>
    <row r="39" spans="1:5" ht="82.8">
      <c r="A39" s="183" t="s">
        <v>227</v>
      </c>
      <c r="B39" s="185" t="s">
        <v>263</v>
      </c>
      <c r="D39" s="238"/>
    </row>
    <row r="40" spans="1:5">
      <c r="B40" s="187" t="s">
        <v>262</v>
      </c>
      <c r="D40" s="238"/>
    </row>
    <row r="41" spans="1:5" ht="15.6">
      <c r="B41" s="185" t="s">
        <v>238</v>
      </c>
      <c r="C41" s="184">
        <v>16.420000000000002</v>
      </c>
      <c r="D41" s="238"/>
      <c r="E41" s="170">
        <f>ROUND(C41*D41,2)</f>
        <v>0</v>
      </c>
    </row>
    <row r="42" spans="1:5">
      <c r="D42" s="238"/>
    </row>
    <row r="43" spans="1:5" ht="41.4">
      <c r="A43" s="183" t="s">
        <v>223</v>
      </c>
      <c r="B43" s="185" t="s">
        <v>246</v>
      </c>
      <c r="D43" s="238"/>
    </row>
    <row r="44" spans="1:5">
      <c r="B44" s="187" t="s">
        <v>258</v>
      </c>
      <c r="D44" s="238"/>
    </row>
    <row r="45" spans="1:5" ht="15.6">
      <c r="B45" s="185" t="s">
        <v>228</v>
      </c>
      <c r="C45" s="184">
        <v>173.28</v>
      </c>
      <c r="D45" s="238"/>
      <c r="E45" s="170">
        <f>ROUND(C45*D45,2)</f>
        <v>0</v>
      </c>
    </row>
    <row r="46" spans="1:5">
      <c r="D46" s="238"/>
    </row>
    <row r="47" spans="1:5" ht="41.4">
      <c r="A47" s="183" t="s">
        <v>220</v>
      </c>
      <c r="B47" s="185" t="s">
        <v>244</v>
      </c>
      <c r="D47" s="238"/>
    </row>
    <row r="48" spans="1:5">
      <c r="B48" s="187" t="s">
        <v>258</v>
      </c>
      <c r="D48" s="238"/>
    </row>
    <row r="49" spans="1:8" ht="15.6">
      <c r="B49" s="185" t="s">
        <v>228</v>
      </c>
      <c r="C49" s="184">
        <v>173.28</v>
      </c>
      <c r="D49" s="238"/>
      <c r="E49" s="170">
        <f>ROUND(C49*D49,2)</f>
        <v>0</v>
      </c>
    </row>
    <row r="50" spans="1:8">
      <c r="D50" s="238"/>
    </row>
    <row r="51" spans="1:8" ht="41.4">
      <c r="A51" s="183" t="s">
        <v>218</v>
      </c>
      <c r="B51" s="185" t="s">
        <v>242</v>
      </c>
      <c r="D51" s="238"/>
    </row>
    <row r="52" spans="1:8">
      <c r="B52" s="187" t="s">
        <v>258</v>
      </c>
      <c r="D52" s="238"/>
    </row>
    <row r="53" spans="1:8" ht="15.6">
      <c r="B53" s="185" t="s">
        <v>228</v>
      </c>
      <c r="C53" s="184">
        <v>173.28</v>
      </c>
      <c r="D53" s="238"/>
      <c r="E53" s="170">
        <f>ROUND(C53*D53,2)</f>
        <v>0</v>
      </c>
    </row>
    <row r="54" spans="1:8">
      <c r="D54" s="238"/>
    </row>
    <row r="55" spans="1:8" ht="55.2">
      <c r="A55" s="183" t="s">
        <v>261</v>
      </c>
      <c r="B55" s="185" t="s">
        <v>240</v>
      </c>
      <c r="D55" s="238"/>
    </row>
    <row r="56" spans="1:8">
      <c r="B56" s="187" t="s">
        <v>260</v>
      </c>
      <c r="D56" s="238"/>
    </row>
    <row r="57" spans="1:8" ht="15.6">
      <c r="B57" s="185" t="s">
        <v>238</v>
      </c>
      <c r="C57" s="184">
        <v>20.059999999999999</v>
      </c>
      <c r="D57" s="238"/>
      <c r="E57" s="170">
        <f>ROUND(C57*D57,2)</f>
        <v>0</v>
      </c>
    </row>
    <row r="58" spans="1:8">
      <c r="D58" s="238"/>
    </row>
    <row r="59" spans="1:8" ht="55.2">
      <c r="A59" s="183" t="s">
        <v>259</v>
      </c>
      <c r="B59" s="185" t="s">
        <v>236</v>
      </c>
      <c r="D59" s="238"/>
    </row>
    <row r="60" spans="1:8">
      <c r="B60" s="187" t="s">
        <v>258</v>
      </c>
      <c r="D60" s="238"/>
    </row>
    <row r="61" spans="1:8" ht="15.6">
      <c r="B61" s="185" t="s">
        <v>228</v>
      </c>
      <c r="C61" s="184">
        <v>173.28</v>
      </c>
      <c r="D61" s="238"/>
      <c r="E61" s="170">
        <f>ROUND(C61*D61,2)</f>
        <v>0</v>
      </c>
    </row>
    <row r="62" spans="1:8">
      <c r="D62" s="238"/>
    </row>
    <row r="63" spans="1:8" ht="41.4">
      <c r="A63" s="183" t="s">
        <v>257</v>
      </c>
      <c r="B63" s="185" t="s">
        <v>256</v>
      </c>
      <c r="D63" s="238"/>
      <c r="H63" s="188"/>
    </row>
    <row r="64" spans="1:8">
      <c r="B64" s="185" t="s">
        <v>4</v>
      </c>
      <c r="C64" s="184">
        <v>5</v>
      </c>
      <c r="D64" s="238"/>
      <c r="E64" s="170">
        <f>ROUND(C64*D64,2)</f>
        <v>0</v>
      </c>
    </row>
    <row r="66" spans="1:5" ht="14.4" thickBot="1"/>
    <row r="67" spans="1:5" ht="14.4" thickTop="1">
      <c r="A67" s="189"/>
      <c r="B67" s="190" t="s">
        <v>0</v>
      </c>
      <c r="C67" s="191"/>
      <c r="D67" s="191"/>
      <c r="E67" s="191">
        <f>SUM(E7:E66)</f>
        <v>0</v>
      </c>
    </row>
  </sheetData>
  <sheetProtection algorithmName="SHA-512" hashValue="u44LEYTVjDNW29XRhWmB8C8SyXIaXZpDl5+0vXkNpoQrjc6qAuRePHgr0FEj8FG5MAF4yxsMujbQKTcP0YJxrg==" saltValue="rDyrAdOZYOldUZEGBAkC8w==" spinCount="100000" sheet="1"/>
  <mergeCells count="1"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&amp;Lver. 2020-12-02&amp;C&amp;8&amp;P/&amp;N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5D27-F97D-474D-93DF-6840B18DF4D4}">
  <dimension ref="A1:K39"/>
  <sheetViews>
    <sheetView workbookViewId="0">
      <selection activeCell="H7" sqref="H7"/>
    </sheetView>
  </sheetViews>
  <sheetFormatPr defaultColWidth="10.33203125" defaultRowHeight="13.8"/>
  <cols>
    <col min="1" max="1" width="6" style="192" customWidth="1"/>
    <col min="2" max="2" width="44.88671875" style="192" customWidth="1"/>
    <col min="3" max="3" width="5.6640625" style="192" bestFit="1" customWidth="1"/>
    <col min="4" max="4" width="8.109375" style="192" bestFit="1" customWidth="1"/>
    <col min="5" max="5" width="12.44140625" style="192" bestFit="1" customWidth="1"/>
    <col min="6" max="6" width="11.5546875" style="192" bestFit="1" customWidth="1"/>
    <col min="7" max="16384" width="10.33203125" style="192"/>
  </cols>
  <sheetData>
    <row r="1" spans="1:11">
      <c r="A1" s="180">
        <v>6</v>
      </c>
      <c r="B1" s="180" t="s">
        <v>321</v>
      </c>
    </row>
    <row r="3" spans="1:11" ht="69">
      <c r="B3" s="193" t="s">
        <v>291</v>
      </c>
    </row>
    <row r="4" spans="1:11" ht="14.4" thickBot="1">
      <c r="B4" s="193"/>
    </row>
    <row r="5" spans="1:11" ht="42" thickBot="1">
      <c r="A5" s="194" t="s">
        <v>217</v>
      </c>
      <c r="B5" s="195" t="s">
        <v>290</v>
      </c>
      <c r="C5" s="196" t="s">
        <v>289</v>
      </c>
      <c r="D5" s="196" t="s">
        <v>253</v>
      </c>
      <c r="E5" s="197" t="s">
        <v>252</v>
      </c>
      <c r="F5" s="198" t="s">
        <v>251</v>
      </c>
      <c r="I5" s="186"/>
      <c r="J5" s="186"/>
      <c r="K5" s="186"/>
    </row>
    <row r="7" spans="1:11" ht="193.2">
      <c r="A7" s="199" t="s">
        <v>250</v>
      </c>
      <c r="B7" s="200" t="s">
        <v>288</v>
      </c>
      <c r="C7" s="201" t="s">
        <v>277</v>
      </c>
      <c r="D7" s="201">
        <v>1</v>
      </c>
      <c r="E7" s="239"/>
      <c r="F7" s="202">
        <f>ROUND(D7*E7,2)</f>
        <v>0</v>
      </c>
    </row>
    <row r="8" spans="1:11">
      <c r="A8" s="199"/>
      <c r="B8" s="200"/>
      <c r="C8" s="201"/>
      <c r="D8" s="201"/>
      <c r="E8" s="239"/>
      <c r="F8" s="202"/>
    </row>
    <row r="9" spans="1:11" ht="27.6">
      <c r="A9" s="199" t="s">
        <v>247</v>
      </c>
      <c r="B9" s="200" t="s">
        <v>287</v>
      </c>
      <c r="C9" s="201" t="s">
        <v>208</v>
      </c>
      <c r="D9" s="201">
        <v>1</v>
      </c>
      <c r="E9" s="239"/>
      <c r="F9" s="202">
        <f>ROUND(D9*E9,2)</f>
        <v>0</v>
      </c>
    </row>
    <row r="10" spans="1:11">
      <c r="A10" s="199"/>
      <c r="B10" s="200"/>
      <c r="C10" s="201"/>
      <c r="D10" s="201"/>
      <c r="E10" s="239"/>
      <c r="F10" s="202"/>
    </row>
    <row r="11" spans="1:11" ht="27.6">
      <c r="A11" s="199" t="s">
        <v>245</v>
      </c>
      <c r="B11" s="200" t="s">
        <v>286</v>
      </c>
      <c r="C11" s="201" t="s">
        <v>63</v>
      </c>
      <c r="D11" s="201">
        <v>1274</v>
      </c>
      <c r="E11" s="239"/>
      <c r="F11" s="202">
        <f>ROUND(D11*E11,2)</f>
        <v>0</v>
      </c>
    </row>
    <row r="12" spans="1:11">
      <c r="A12" s="199"/>
      <c r="B12" s="200"/>
      <c r="C12" s="201"/>
      <c r="D12" s="201"/>
      <c r="E12" s="239"/>
      <c r="F12" s="202"/>
    </row>
    <row r="13" spans="1:11" ht="27.6">
      <c r="A13" s="199" t="s">
        <v>243</v>
      </c>
      <c r="B13" s="200" t="s">
        <v>285</v>
      </c>
      <c r="C13" s="201" t="s">
        <v>63</v>
      </c>
      <c r="D13" s="201">
        <v>637</v>
      </c>
      <c r="E13" s="239"/>
      <c r="F13" s="202">
        <f>ROUND(D13*E13,2)</f>
        <v>0</v>
      </c>
    </row>
    <row r="14" spans="1:11">
      <c r="A14" s="199"/>
      <c r="B14" s="200"/>
      <c r="C14" s="201"/>
      <c r="D14" s="201"/>
      <c r="E14" s="239"/>
      <c r="F14" s="202"/>
    </row>
    <row r="15" spans="1:11" ht="27.6">
      <c r="A15" s="199" t="s">
        <v>241</v>
      </c>
      <c r="B15" s="200" t="s">
        <v>284</v>
      </c>
      <c r="C15" s="201" t="s">
        <v>63</v>
      </c>
      <c r="D15" s="201">
        <v>1544</v>
      </c>
      <c r="E15" s="239"/>
      <c r="F15" s="202">
        <f>ROUND(D15*E15,2)</f>
        <v>0</v>
      </c>
    </row>
    <row r="16" spans="1:11">
      <c r="A16" s="199"/>
      <c r="B16" s="200"/>
      <c r="C16" s="201"/>
      <c r="D16" s="201"/>
      <c r="E16" s="239"/>
      <c r="F16" s="202"/>
    </row>
    <row r="17" spans="1:6" ht="27.6">
      <c r="A17" s="199" t="s">
        <v>237</v>
      </c>
      <c r="B17" s="200" t="s">
        <v>283</v>
      </c>
      <c r="C17" s="201" t="s">
        <v>63</v>
      </c>
      <c r="D17" s="201">
        <v>312</v>
      </c>
      <c r="E17" s="239"/>
      <c r="F17" s="202">
        <f>ROUND(D17*E17,2)</f>
        <v>0</v>
      </c>
    </row>
    <row r="18" spans="1:6">
      <c r="A18" s="199"/>
      <c r="B18" s="200"/>
      <c r="C18" s="201"/>
      <c r="D18" s="201"/>
      <c r="E18" s="239"/>
      <c r="F18" s="202"/>
    </row>
    <row r="19" spans="1:6" ht="55.2">
      <c r="A19" s="199" t="s">
        <v>234</v>
      </c>
      <c r="B19" s="203" t="s">
        <v>282</v>
      </c>
      <c r="C19" s="201" t="s">
        <v>208</v>
      </c>
      <c r="D19" s="201">
        <v>8</v>
      </c>
      <c r="E19" s="239"/>
      <c r="F19" s="202">
        <f>ROUND(D19*E19,2)</f>
        <v>0</v>
      </c>
    </row>
    <row r="20" spans="1:6">
      <c r="A20" s="199"/>
      <c r="B20" s="200"/>
      <c r="C20" s="201"/>
      <c r="D20" s="201"/>
      <c r="E20" s="239"/>
      <c r="F20" s="202"/>
    </row>
    <row r="21" spans="1:6" ht="69">
      <c r="A21" s="199" t="s">
        <v>232</v>
      </c>
      <c r="B21" s="200" t="s">
        <v>281</v>
      </c>
      <c r="C21" s="201" t="s">
        <v>63</v>
      </c>
      <c r="D21" s="201">
        <v>1936</v>
      </c>
      <c r="E21" s="239"/>
      <c r="F21" s="202">
        <f>ROUND(D21*E21,2)</f>
        <v>0</v>
      </c>
    </row>
    <row r="22" spans="1:6">
      <c r="A22" s="199"/>
      <c r="B22" s="200"/>
      <c r="C22" s="201"/>
      <c r="D22" s="201"/>
      <c r="E22" s="239"/>
      <c r="F22" s="202"/>
    </row>
    <row r="23" spans="1:6" ht="55.2">
      <c r="A23" s="199" t="s">
        <v>230</v>
      </c>
      <c r="B23" s="200" t="s">
        <v>280</v>
      </c>
      <c r="C23" s="201" t="s">
        <v>63</v>
      </c>
      <c r="D23" s="201">
        <v>290</v>
      </c>
      <c r="E23" s="239"/>
      <c r="F23" s="202">
        <f>ROUND(D23*E23,2)</f>
        <v>0</v>
      </c>
    </row>
    <row r="24" spans="1:6">
      <c r="A24" s="199"/>
      <c r="B24" s="200"/>
      <c r="C24" s="201"/>
      <c r="D24" s="201"/>
      <c r="E24" s="239"/>
      <c r="F24" s="202"/>
    </row>
    <row r="25" spans="1:6" ht="82.8">
      <c r="A25" s="199" t="s">
        <v>227</v>
      </c>
      <c r="B25" s="200" t="s">
        <v>279</v>
      </c>
      <c r="C25" s="201" t="s">
        <v>277</v>
      </c>
      <c r="D25" s="201">
        <v>88</v>
      </c>
      <c r="E25" s="239"/>
      <c r="F25" s="202">
        <f>ROUND(D25*E25,2)</f>
        <v>0</v>
      </c>
    </row>
    <row r="26" spans="1:6">
      <c r="A26" s="199"/>
      <c r="B26" s="200"/>
      <c r="C26" s="201"/>
      <c r="D26" s="201"/>
      <c r="E26" s="239"/>
      <c r="F26" s="202"/>
    </row>
    <row r="27" spans="1:6" ht="69">
      <c r="A27" s="199" t="s">
        <v>223</v>
      </c>
      <c r="B27" s="200" t="s">
        <v>278</v>
      </c>
      <c r="C27" s="201" t="s">
        <v>277</v>
      </c>
      <c r="D27" s="201">
        <v>88</v>
      </c>
      <c r="E27" s="239"/>
      <c r="F27" s="202">
        <f>ROUND(D27*E27,2)</f>
        <v>0</v>
      </c>
    </row>
    <row r="28" spans="1:6">
      <c r="A28" s="199"/>
      <c r="B28" s="200"/>
      <c r="C28" s="201"/>
      <c r="D28" s="201"/>
      <c r="E28" s="239"/>
      <c r="F28" s="202"/>
    </row>
    <row r="29" spans="1:6" ht="82.8">
      <c r="A29" s="199" t="s">
        <v>220</v>
      </c>
      <c r="B29" s="200" t="s">
        <v>276</v>
      </c>
      <c r="C29" s="201" t="s">
        <v>208</v>
      </c>
      <c r="D29" s="201">
        <v>4</v>
      </c>
      <c r="E29" s="239"/>
      <c r="F29" s="202">
        <f>ROUND(D29*E29,2)</f>
        <v>0</v>
      </c>
    </row>
    <row r="30" spans="1:6">
      <c r="A30" s="199"/>
      <c r="B30" s="200"/>
      <c r="C30" s="201"/>
      <c r="D30" s="201"/>
      <c r="E30" s="239"/>
      <c r="F30" s="202"/>
    </row>
    <row r="31" spans="1:6" ht="55.2">
      <c r="A31" s="199" t="s">
        <v>218</v>
      </c>
      <c r="B31" s="200" t="s">
        <v>275</v>
      </c>
      <c r="C31" s="201" t="s">
        <v>208</v>
      </c>
      <c r="D31" s="201">
        <v>1</v>
      </c>
      <c r="E31" s="239"/>
      <c r="F31" s="202">
        <f>ROUND(D31*E31,2)</f>
        <v>0</v>
      </c>
    </row>
    <row r="32" spans="1:6">
      <c r="A32" s="199"/>
      <c r="B32" s="200"/>
      <c r="C32" s="201"/>
      <c r="D32" s="201"/>
      <c r="E32" s="239"/>
      <c r="F32" s="202"/>
    </row>
    <row r="33" spans="1:6" ht="69">
      <c r="A33" s="199" t="s">
        <v>261</v>
      </c>
      <c r="B33" s="200" t="s">
        <v>274</v>
      </c>
      <c r="C33" s="201" t="s">
        <v>208</v>
      </c>
      <c r="D33" s="201">
        <v>1</v>
      </c>
      <c r="E33" s="239"/>
      <c r="F33" s="202">
        <f>ROUND(D33*E33,2)</f>
        <v>0</v>
      </c>
    </row>
    <row r="34" spans="1:6">
      <c r="A34" s="199"/>
      <c r="B34" s="200"/>
      <c r="C34" s="201"/>
      <c r="D34" s="201"/>
      <c r="E34" s="239"/>
      <c r="F34" s="202"/>
    </row>
    <row r="35" spans="1:6">
      <c r="A35" s="199" t="s">
        <v>259</v>
      </c>
      <c r="B35" s="200" t="s">
        <v>273</v>
      </c>
      <c r="C35" s="201" t="s">
        <v>208</v>
      </c>
      <c r="D35" s="201">
        <v>1</v>
      </c>
      <c r="E35" s="239"/>
      <c r="F35" s="170">
        <f>ROUND(D35*E35,2)</f>
        <v>0</v>
      </c>
    </row>
    <row r="36" spans="1:6">
      <c r="A36" s="199"/>
      <c r="B36" s="200"/>
      <c r="C36" s="201"/>
      <c r="D36" s="201"/>
      <c r="E36" s="239"/>
      <c r="F36" s="202"/>
    </row>
    <row r="37" spans="1:6">
      <c r="A37" s="199" t="s">
        <v>257</v>
      </c>
      <c r="B37" s="200" t="s">
        <v>272</v>
      </c>
      <c r="C37" s="201" t="s">
        <v>208</v>
      </c>
      <c r="D37" s="201">
        <v>1</v>
      </c>
      <c r="E37" s="239"/>
      <c r="F37" s="170">
        <f>ROUND(D37*E37,2)</f>
        <v>0</v>
      </c>
    </row>
    <row r="38" spans="1:6" ht="14.4" thickBot="1">
      <c r="A38" s="199"/>
      <c r="B38" s="204"/>
      <c r="C38" s="205"/>
      <c r="D38" s="206"/>
      <c r="E38" s="206"/>
      <c r="F38" s="207"/>
    </row>
    <row r="39" spans="1:6">
      <c r="A39" s="208"/>
      <c r="B39" s="209" t="s">
        <v>0</v>
      </c>
      <c r="C39" s="210" t="s">
        <v>271</v>
      </c>
      <c r="D39" s="211"/>
      <c r="E39" s="211"/>
      <c r="F39" s="212">
        <f>SUM(F7:F38)</f>
        <v>0</v>
      </c>
    </row>
  </sheetData>
  <sheetProtection algorithmName="SHA-512" hashValue="s27cFPST3iUti88dSBPr65VUSwTPY6FMWcnZrsEYJp72QCnUUJmAsgGGuj2vwTK6KKVqY3ctRubMArwauDp08A==" saltValue="AaG1+rI7VPuPN+GYnj472Q==" spinCount="100000" sheet="1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&amp;Lver. 2020-12-02&amp;C&amp;8&amp;P/&amp;N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A4C3D-BE23-4417-A8BA-AD759C135350}">
  <dimension ref="A1:F29"/>
  <sheetViews>
    <sheetView workbookViewId="0">
      <selection activeCell="J12" sqref="J12"/>
    </sheetView>
  </sheetViews>
  <sheetFormatPr defaultColWidth="10.33203125" defaultRowHeight="13.8"/>
  <cols>
    <col min="1" max="1" width="5.5546875" style="192" customWidth="1"/>
    <col min="2" max="2" width="47.5546875" style="192" customWidth="1"/>
    <col min="3" max="3" width="5.6640625" style="192" bestFit="1" customWidth="1"/>
    <col min="4" max="4" width="8.109375" style="192" bestFit="1" customWidth="1"/>
    <col min="5" max="5" width="11.33203125" style="192" bestFit="1" customWidth="1"/>
    <col min="6" max="6" width="10.44140625" style="192" customWidth="1"/>
    <col min="7" max="16384" width="10.33203125" style="192"/>
  </cols>
  <sheetData>
    <row r="1" spans="1:6">
      <c r="A1" s="213" t="s">
        <v>305</v>
      </c>
      <c r="B1" s="180" t="s">
        <v>322</v>
      </c>
    </row>
    <row r="3" spans="1:6" ht="55.2">
      <c r="B3" s="193" t="s">
        <v>291</v>
      </c>
    </row>
    <row r="4" spans="1:6" ht="14.4" thickBot="1">
      <c r="B4" s="193"/>
    </row>
    <row r="5" spans="1:6" ht="42" thickBot="1">
      <c r="A5" s="194" t="s">
        <v>217</v>
      </c>
      <c r="B5" s="195" t="s">
        <v>290</v>
      </c>
      <c r="C5" s="196" t="s">
        <v>289</v>
      </c>
      <c r="D5" s="196" t="s">
        <v>253</v>
      </c>
      <c r="E5" s="197" t="s">
        <v>252</v>
      </c>
      <c r="F5" s="198" t="s">
        <v>251</v>
      </c>
    </row>
    <row r="7" spans="1:6" ht="27.6">
      <c r="A7" s="199" t="s">
        <v>250</v>
      </c>
      <c r="B7" s="200" t="s">
        <v>294</v>
      </c>
      <c r="C7" s="201" t="s">
        <v>63</v>
      </c>
      <c r="D7" s="201">
        <v>133</v>
      </c>
      <c r="E7" s="239"/>
      <c r="F7" s="202">
        <f>ROUND(D7*E7,2)</f>
        <v>0</v>
      </c>
    </row>
    <row r="8" spans="1:6">
      <c r="A8" s="199"/>
      <c r="B8" s="200"/>
      <c r="C8" s="201"/>
      <c r="D8" s="201"/>
      <c r="E8" s="239"/>
      <c r="F8" s="202"/>
    </row>
    <row r="9" spans="1:6" ht="27.6">
      <c r="A9" s="199" t="s">
        <v>247</v>
      </c>
      <c r="B9" s="200" t="s">
        <v>284</v>
      </c>
      <c r="C9" s="201" t="s">
        <v>63</v>
      </c>
      <c r="D9" s="201">
        <v>244</v>
      </c>
      <c r="E9" s="239"/>
      <c r="F9" s="202">
        <f>ROUND(D9*E9,2)</f>
        <v>0</v>
      </c>
    </row>
    <row r="10" spans="1:6">
      <c r="A10" s="199"/>
      <c r="B10" s="200"/>
      <c r="C10" s="201"/>
      <c r="D10" s="201"/>
      <c r="E10" s="239"/>
      <c r="F10" s="202"/>
    </row>
    <row r="11" spans="1:6" ht="27.6">
      <c r="A11" s="199" t="s">
        <v>245</v>
      </c>
      <c r="B11" s="200" t="s">
        <v>283</v>
      </c>
      <c r="C11" s="201" t="s">
        <v>63</v>
      </c>
      <c r="D11" s="201">
        <v>112</v>
      </c>
      <c r="E11" s="239"/>
      <c r="F11" s="202">
        <f>ROUND(D11*E11,2)</f>
        <v>0</v>
      </c>
    </row>
    <row r="12" spans="1:6">
      <c r="A12" s="199"/>
      <c r="B12" s="200"/>
      <c r="C12" s="201"/>
      <c r="D12" s="201"/>
      <c r="E12" s="239"/>
      <c r="F12" s="202"/>
    </row>
    <row r="13" spans="1:6" ht="41.4">
      <c r="A13" s="199" t="s">
        <v>243</v>
      </c>
      <c r="B13" s="203" t="s">
        <v>282</v>
      </c>
      <c r="C13" s="201" t="s">
        <v>208</v>
      </c>
      <c r="D13" s="201">
        <v>5</v>
      </c>
      <c r="E13" s="239"/>
      <c r="F13" s="202">
        <f>ROUND(D13*E13,2)</f>
        <v>0</v>
      </c>
    </row>
    <row r="14" spans="1:6">
      <c r="A14" s="199"/>
      <c r="B14" s="200"/>
      <c r="C14" s="201"/>
      <c r="D14" s="201"/>
      <c r="E14" s="239"/>
      <c r="F14" s="202"/>
    </row>
    <row r="15" spans="1:6" ht="69">
      <c r="A15" s="199" t="s">
        <v>241</v>
      </c>
      <c r="B15" s="200" t="s">
        <v>281</v>
      </c>
      <c r="C15" s="201" t="s">
        <v>63</v>
      </c>
      <c r="D15" s="201">
        <v>1309</v>
      </c>
      <c r="E15" s="239"/>
      <c r="F15" s="202">
        <f>ROUND(D15*E15,2)</f>
        <v>0</v>
      </c>
    </row>
    <row r="16" spans="1:6">
      <c r="A16" s="199"/>
      <c r="B16" s="200"/>
      <c r="C16" s="201"/>
      <c r="D16" s="201"/>
      <c r="E16" s="239"/>
      <c r="F16" s="202"/>
    </row>
    <row r="17" spans="1:6" ht="55.2">
      <c r="A17" s="199" t="s">
        <v>237</v>
      </c>
      <c r="B17" s="200" t="s">
        <v>280</v>
      </c>
      <c r="C17" s="201" t="s">
        <v>63</v>
      </c>
      <c r="D17" s="201">
        <v>123</v>
      </c>
      <c r="E17" s="239"/>
      <c r="F17" s="202">
        <f>ROUND(D17*E17,2)</f>
        <v>0</v>
      </c>
    </row>
    <row r="18" spans="1:6">
      <c r="A18" s="199"/>
      <c r="B18" s="200"/>
      <c r="C18" s="201"/>
      <c r="D18" s="201"/>
      <c r="E18" s="239"/>
      <c r="F18" s="202"/>
    </row>
    <row r="19" spans="1:6" ht="82.8">
      <c r="A19" s="199" t="s">
        <v>234</v>
      </c>
      <c r="B19" s="200" t="s">
        <v>293</v>
      </c>
      <c r="C19" s="201" t="s">
        <v>277</v>
      </c>
      <c r="D19" s="201">
        <v>41</v>
      </c>
      <c r="E19" s="239"/>
      <c r="F19" s="202">
        <f>ROUND(D19*E19,2)</f>
        <v>0</v>
      </c>
    </row>
    <row r="20" spans="1:6">
      <c r="A20" s="199"/>
      <c r="B20" s="200"/>
      <c r="C20" s="201"/>
      <c r="D20" s="201"/>
      <c r="E20" s="239"/>
      <c r="F20" s="202"/>
    </row>
    <row r="21" spans="1:6" ht="69">
      <c r="A21" s="199" t="s">
        <v>232</v>
      </c>
      <c r="B21" s="200" t="s">
        <v>292</v>
      </c>
      <c r="C21" s="201" t="s">
        <v>277</v>
      </c>
      <c r="D21" s="201">
        <v>41</v>
      </c>
      <c r="E21" s="239"/>
      <c r="F21" s="202">
        <f>ROUND(D21*E21,2)</f>
        <v>0</v>
      </c>
    </row>
    <row r="22" spans="1:6">
      <c r="A22" s="199"/>
      <c r="B22" s="200"/>
      <c r="C22" s="201"/>
      <c r="D22" s="201"/>
      <c r="E22" s="239"/>
      <c r="F22" s="202"/>
    </row>
    <row r="23" spans="1:6" ht="82.8">
      <c r="A23" s="199" t="s">
        <v>230</v>
      </c>
      <c r="B23" s="200" t="s">
        <v>276</v>
      </c>
      <c r="C23" s="201" t="s">
        <v>208</v>
      </c>
      <c r="D23" s="201">
        <v>3</v>
      </c>
      <c r="E23" s="239"/>
      <c r="F23" s="202">
        <f>ROUND(D23*E23,2)</f>
        <v>0</v>
      </c>
    </row>
    <row r="24" spans="1:6">
      <c r="A24" s="199"/>
      <c r="B24" s="200"/>
      <c r="C24" s="201"/>
      <c r="D24" s="201"/>
      <c r="E24" s="239"/>
      <c r="F24" s="202"/>
    </row>
    <row r="25" spans="1:6">
      <c r="A25" s="199" t="s">
        <v>227</v>
      </c>
      <c r="B25" s="200" t="s">
        <v>273</v>
      </c>
      <c r="C25" s="201" t="s">
        <v>208</v>
      </c>
      <c r="D25" s="201">
        <v>1</v>
      </c>
      <c r="E25" s="239"/>
      <c r="F25" s="202">
        <f>ROUND(D25*E25,2)</f>
        <v>0</v>
      </c>
    </row>
    <row r="26" spans="1:6">
      <c r="A26" s="199"/>
      <c r="B26" s="200"/>
      <c r="C26" s="201"/>
      <c r="D26" s="201"/>
      <c r="E26" s="239"/>
      <c r="F26" s="202"/>
    </row>
    <row r="27" spans="1:6">
      <c r="A27" s="199" t="s">
        <v>223</v>
      </c>
      <c r="B27" s="200" t="s">
        <v>272</v>
      </c>
      <c r="C27" s="201" t="s">
        <v>208</v>
      </c>
      <c r="D27" s="201">
        <v>1</v>
      </c>
      <c r="E27" s="239"/>
      <c r="F27" s="202">
        <f>ROUND(D27*E27,2)</f>
        <v>0</v>
      </c>
    </row>
    <row r="28" spans="1:6" ht="14.4" thickBot="1">
      <c r="A28" s="199"/>
      <c r="B28" s="204"/>
      <c r="C28" s="205"/>
      <c r="D28" s="206"/>
      <c r="E28" s="206"/>
      <c r="F28" s="207"/>
    </row>
    <row r="29" spans="1:6">
      <c r="A29" s="208"/>
      <c r="B29" s="209" t="s">
        <v>0</v>
      </c>
      <c r="C29" s="210" t="s">
        <v>271</v>
      </c>
      <c r="D29" s="211"/>
      <c r="E29" s="211"/>
      <c r="F29" s="212">
        <f>SUM(F7:F28)</f>
        <v>0</v>
      </c>
    </row>
  </sheetData>
  <sheetProtection algorithmName="SHA-512" hashValue="UmVEGD0fn9VYHpWstV5gCRmqWMlgUpqT0YkKvc4wXgHjmYVK8cfbLWmnuNh2GRlbiXJrLwJWYELLkpj99FYqug==" saltValue="g2E99PbPKkwGQMqq7fNA/w==" spinCount="100000" sheet="1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&amp;Lver. 2020-12-02&amp;C&amp;8&amp;P/&amp;N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Rekapitulacija</vt:lpstr>
      <vt:lpstr>1 Rekonstrukcija 7A</vt:lpstr>
      <vt:lpstr>2.1 Rekonstrukcija 7B(1. etapa)</vt:lpstr>
      <vt:lpstr>2.2 Rekonstrukcija 7B(2. etapa)</vt:lpstr>
      <vt:lpstr>3 Sanacija pripravljalna dela</vt:lpstr>
      <vt:lpstr>4 Sanacija vez 7A</vt:lpstr>
      <vt:lpstr>5 Sanacija vez 7B</vt:lpstr>
      <vt:lpstr>6 Katodna vez 7A</vt:lpstr>
      <vt:lpstr>7 Katodna vez 7B</vt:lpstr>
      <vt:lpstr>'2.1 Rekonstrukcija 7B(1. etapa)'!Print_Area</vt:lpstr>
      <vt:lpstr>'4 Sanacija vez 7A'!Print_Titles</vt:lpstr>
      <vt:lpstr>'5 Sanacija vez 7B'!Print_Titles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Žerjal Mara</cp:lastModifiedBy>
  <cp:lastPrinted>2020-12-03T11:56:11Z</cp:lastPrinted>
  <dcterms:created xsi:type="dcterms:W3CDTF">1996-06-28T10:47:32Z</dcterms:created>
  <dcterms:modified xsi:type="dcterms:W3CDTF">2020-12-09T14:46:45Z</dcterms:modified>
</cp:coreProperties>
</file>